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dFree - Codice Fiscale\Lavoro 09-07-2018\BdF\"/>
    </mc:Choice>
  </mc:AlternateContent>
  <bookViews>
    <workbookView xWindow="240" yWindow="60" windowWidth="15570" windowHeight="11760" activeTab="4"/>
  </bookViews>
  <sheets>
    <sheet name="Cont" sheetId="1" r:id="rId1"/>
    <sheet name="Pivot" sheetId="4" r:id="rId2"/>
    <sheet name="Iva" sheetId="5" r:id="rId3"/>
    <sheet name="R.a." sheetId="6" r:id="rId4"/>
    <sheet name="Rend" sheetId="7" r:id="rId5"/>
    <sheet name="Piano conti" sheetId="8" r:id="rId6"/>
    <sheet name="Cassa" sheetId="10" r:id="rId7"/>
  </sheets>
  <externalReferences>
    <externalReference r:id="rId8"/>
  </externalReferences>
  <definedNames>
    <definedName name="_xlnm._FilterDatabase" localSheetId="0" hidden="1">Cont!$A$1:$M$99</definedName>
    <definedName name="_xlnm._FilterDatabase" localSheetId="5" hidden="1">'Piano conti'!$A$3:$E$80</definedName>
    <definedName name="_xlnm._FilterDatabase" localSheetId="1" hidden="1">Pivot!$A$5:$D$13</definedName>
    <definedName name="_xlnm._FilterDatabase" localSheetId="3" hidden="1">'R.a.'!$A$3:$K$21</definedName>
    <definedName name="_xlnm._FilterDatabase" localSheetId="4" hidden="1">Rend!$A$8:$I$51</definedName>
  </definedNames>
  <calcPr calcId="152511"/>
  <pivotCaches>
    <pivotCache cacheId="4" r:id="rId9"/>
  </pivotCaches>
</workbook>
</file>

<file path=xl/calcChain.xml><?xml version="1.0" encoding="utf-8"?>
<calcChain xmlns="http://schemas.openxmlformats.org/spreadsheetml/2006/main">
  <c r="B98" i="1" l="1"/>
  <c r="F98" i="1" s="1"/>
  <c r="E98" i="1"/>
  <c r="D98" i="1"/>
  <c r="C98" i="1"/>
  <c r="C107" i="1"/>
  <c r="B107" i="1" l="1"/>
  <c r="B93" i="1"/>
  <c r="E93" i="1" s="1"/>
  <c r="K93" i="1"/>
  <c r="K92" i="1"/>
  <c r="B92" i="1"/>
  <c r="D93" i="1" l="1"/>
  <c r="B118" i="1"/>
  <c r="K90" i="1"/>
  <c r="E90" i="1"/>
  <c r="D90" i="1"/>
  <c r="K96" i="1"/>
  <c r="E96" i="1"/>
  <c r="D96" i="1"/>
  <c r="K95" i="1"/>
  <c r="E95" i="1"/>
  <c r="D95" i="1"/>
  <c r="K89" i="1"/>
  <c r="E89" i="1"/>
  <c r="D89" i="1"/>
  <c r="E92" i="1"/>
  <c r="D92" i="1"/>
  <c r="K91" i="1"/>
  <c r="E91" i="1"/>
  <c r="D91" i="1"/>
  <c r="K88" i="1"/>
  <c r="E88" i="1"/>
  <c r="D88" i="1"/>
  <c r="K87" i="1"/>
  <c r="E87" i="1"/>
  <c r="D87" i="1"/>
  <c r="K78" i="1"/>
  <c r="E78" i="1"/>
  <c r="D78" i="1"/>
  <c r="D79" i="1"/>
  <c r="E79" i="1"/>
  <c r="K79" i="1"/>
  <c r="D7" i="6" l="1"/>
  <c r="C7" i="6"/>
  <c r="H7" i="6" s="1"/>
  <c r="H15" i="6"/>
  <c r="H14" i="6"/>
  <c r="H13" i="6"/>
  <c r="H12" i="6"/>
  <c r="H11" i="6"/>
  <c r="H10" i="6"/>
  <c r="H9" i="6"/>
  <c r="H8" i="6"/>
  <c r="I15" i="6"/>
  <c r="I14" i="6"/>
  <c r="I13" i="6"/>
  <c r="I12" i="6"/>
  <c r="I11" i="6"/>
  <c r="I10" i="6"/>
  <c r="I9" i="6"/>
  <c r="I8" i="6"/>
  <c r="I6" i="6"/>
  <c r="I5" i="6"/>
  <c r="H6" i="6"/>
  <c r="H5" i="6"/>
  <c r="F6" i="6"/>
  <c r="F5" i="6"/>
  <c r="F4" i="6"/>
  <c r="I4" i="6" s="1"/>
  <c r="H4" i="6"/>
  <c r="C4" i="6"/>
  <c r="D4" i="6" s="1"/>
  <c r="F7" i="6" l="1"/>
  <c r="I7" i="6" l="1"/>
  <c r="E94" i="1"/>
  <c r="K85" i="1" l="1"/>
  <c r="E85" i="1"/>
  <c r="D85" i="1"/>
  <c r="B7" i="6" l="1"/>
  <c r="K83" i="1"/>
  <c r="E83" i="1"/>
  <c r="D83" i="1"/>
  <c r="D28" i="1" l="1"/>
  <c r="E28" i="1"/>
  <c r="K41" i="1" l="1"/>
  <c r="K84" i="1" l="1"/>
  <c r="K75" i="1" l="1"/>
  <c r="E75" i="1"/>
  <c r="D75" i="1"/>
  <c r="K74" i="1"/>
  <c r="D74" i="1"/>
  <c r="E74" i="1"/>
  <c r="K94" i="1"/>
  <c r="D94" i="1"/>
  <c r="K77" i="1"/>
  <c r="E77" i="1"/>
  <c r="D77" i="1"/>
  <c r="K81" i="1"/>
  <c r="E81" i="1"/>
  <c r="D81" i="1"/>
  <c r="K80" i="1"/>
  <c r="E80" i="1"/>
  <c r="D80" i="1"/>
  <c r="E84" i="1"/>
  <c r="D84" i="1"/>
  <c r="K69" i="1"/>
  <c r="E69" i="1"/>
  <c r="D69" i="1"/>
  <c r="B58" i="1"/>
  <c r="K57" i="1"/>
  <c r="B57" i="1"/>
  <c r="E57" i="1" s="1"/>
  <c r="D57" i="1" l="1"/>
  <c r="B52" i="1" l="1"/>
  <c r="K51" i="1"/>
  <c r="E51" i="1"/>
  <c r="D51" i="1"/>
  <c r="B44" i="1"/>
  <c r="E44" i="1" s="1"/>
  <c r="B45" i="1"/>
  <c r="D45" i="1" s="1"/>
  <c r="K44" i="1"/>
  <c r="K45" i="1"/>
  <c r="E45" i="1" l="1"/>
  <c r="D44" i="1"/>
  <c r="D41" i="1"/>
  <c r="E41" i="1"/>
  <c r="B23" i="1" l="1"/>
  <c r="K68" i="1" l="1"/>
  <c r="E68" i="1"/>
  <c r="D68" i="1"/>
  <c r="K58" i="1"/>
  <c r="E58" i="1"/>
  <c r="D58" i="1"/>
  <c r="K52" i="1"/>
  <c r="E52" i="1"/>
  <c r="D52" i="1"/>
  <c r="B2" i="1"/>
  <c r="K76" i="1" l="1"/>
  <c r="E76" i="1"/>
  <c r="D76" i="1"/>
  <c r="K27" i="1" l="1"/>
  <c r="E27" i="1"/>
  <c r="D27" i="1"/>
  <c r="B71" i="1" l="1"/>
  <c r="K16" i="1" l="1"/>
  <c r="E16" i="1"/>
  <c r="D16" i="1"/>
  <c r="K59" i="1" l="1"/>
  <c r="E59" i="1"/>
  <c r="D59" i="1"/>
  <c r="D55" i="1" l="1"/>
  <c r="E55" i="1"/>
  <c r="K55" i="1"/>
  <c r="K28" i="1"/>
  <c r="K66" i="1" l="1"/>
  <c r="K86" i="1" l="1"/>
  <c r="E86" i="1"/>
  <c r="D86" i="1"/>
  <c r="K23" i="1"/>
  <c r="E23" i="1"/>
  <c r="D23" i="1"/>
  <c r="K82" i="1"/>
  <c r="E82" i="1"/>
  <c r="D82" i="1"/>
  <c r="E66" i="1"/>
  <c r="D66" i="1"/>
  <c r="K73" i="1"/>
  <c r="E73" i="1"/>
  <c r="D73" i="1"/>
  <c r="H61" i="7" l="1"/>
  <c r="H60" i="7"/>
  <c r="C58" i="7"/>
  <c r="B6" i="6"/>
  <c r="B5" i="6"/>
  <c r="B4" i="6"/>
  <c r="F16" i="5"/>
  <c r="K4" i="1"/>
  <c r="E4" i="1"/>
  <c r="D4" i="1"/>
  <c r="C20" i="6" l="1"/>
  <c r="K53" i="1" l="1"/>
  <c r="E53" i="1"/>
  <c r="D53" i="1"/>
  <c r="K60" i="1"/>
  <c r="K62" i="1" l="1"/>
  <c r="E62" i="1"/>
  <c r="D62" i="1"/>
  <c r="K61" i="1"/>
  <c r="E61" i="1"/>
  <c r="D61" i="1"/>
  <c r="K47" i="1"/>
  <c r="E47" i="1"/>
  <c r="D47" i="1"/>
  <c r="K46" i="1"/>
  <c r="E46" i="1"/>
  <c r="D46" i="1"/>
  <c r="K34" i="1"/>
  <c r="E34" i="1"/>
  <c r="D34" i="1"/>
  <c r="K32" i="1"/>
  <c r="E32" i="1"/>
  <c r="D32" i="1"/>
  <c r="K72" i="1"/>
  <c r="E72" i="1"/>
  <c r="D72" i="1"/>
  <c r="K43" i="1"/>
  <c r="E43" i="1"/>
  <c r="D43" i="1"/>
  <c r="K49" i="1"/>
  <c r="E49" i="1"/>
  <c r="D49" i="1"/>
  <c r="K70" i="1"/>
  <c r="E70" i="1"/>
  <c r="D70" i="1"/>
  <c r="K54" i="1"/>
  <c r="E54" i="1"/>
  <c r="D54" i="1"/>
  <c r="E60" i="1"/>
  <c r="D60" i="1"/>
  <c r="K65" i="1"/>
  <c r="E65" i="1"/>
  <c r="D65" i="1"/>
  <c r="K35" i="1"/>
  <c r="E35" i="1"/>
  <c r="D35" i="1"/>
  <c r="K48" i="1" l="1"/>
  <c r="E48" i="1"/>
  <c r="D48" i="1"/>
  <c r="K56" i="1"/>
  <c r="E56" i="1"/>
  <c r="D56" i="1"/>
  <c r="K71" i="1"/>
  <c r="E71" i="1"/>
  <c r="D71" i="1"/>
  <c r="K64" i="1"/>
  <c r="E64" i="1"/>
  <c r="D64" i="1"/>
  <c r="K67" i="1"/>
  <c r="E67" i="1"/>
  <c r="D67" i="1"/>
  <c r="K63" i="1"/>
  <c r="E63" i="1"/>
  <c r="D63" i="1"/>
  <c r="K42" i="1"/>
  <c r="E42" i="1"/>
  <c r="D42" i="1"/>
  <c r="K10" i="1"/>
  <c r="E10" i="1"/>
  <c r="D10" i="1"/>
  <c r="H59" i="7" l="1"/>
  <c r="K5" i="1"/>
  <c r="E5" i="1"/>
  <c r="D5" i="1"/>
  <c r="H20" i="6"/>
  <c r="B17" i="1"/>
  <c r="K20" i="1"/>
  <c r="E20" i="1"/>
  <c r="D20" i="1"/>
  <c r="K19" i="1"/>
  <c r="E19" i="1"/>
  <c r="D19" i="1"/>
  <c r="K50" i="1"/>
  <c r="E50" i="1"/>
  <c r="D50" i="1"/>
  <c r="K25" i="1"/>
  <c r="E25" i="1"/>
  <c r="D25" i="1"/>
  <c r="K29" i="1"/>
  <c r="E29" i="1"/>
  <c r="D29" i="1"/>
  <c r="K40" i="1"/>
  <c r="E40" i="1"/>
  <c r="D40" i="1"/>
  <c r="K26" i="1"/>
  <c r="E26" i="1"/>
  <c r="D26" i="1"/>
  <c r="K15" i="1"/>
  <c r="E15" i="1"/>
  <c r="D15" i="1"/>
  <c r="K22" i="1"/>
  <c r="E22" i="1"/>
  <c r="D22" i="1"/>
  <c r="K21" i="1"/>
  <c r="E21" i="1"/>
  <c r="D21" i="1"/>
  <c r="D31" i="1"/>
  <c r="E31" i="1"/>
  <c r="K31" i="1"/>
  <c r="K37" i="1"/>
  <c r="E37" i="1"/>
  <c r="D37" i="1"/>
  <c r="K38" i="1"/>
  <c r="E38" i="1"/>
  <c r="D38" i="1"/>
  <c r="K30" i="1"/>
  <c r="E30" i="1"/>
  <c r="D30" i="1"/>
  <c r="K11" i="1"/>
  <c r="E11" i="1"/>
  <c r="D11" i="1"/>
  <c r="K18" i="1"/>
  <c r="E18" i="1"/>
  <c r="D18" i="1"/>
  <c r="K12" i="1"/>
  <c r="E12" i="1"/>
  <c r="D12" i="1"/>
  <c r="K6" i="1"/>
  <c r="E6" i="1"/>
  <c r="D6" i="1"/>
  <c r="K17" i="1"/>
  <c r="K97" i="1"/>
  <c r="E97" i="1"/>
  <c r="D97" i="1"/>
  <c r="K36" i="1"/>
  <c r="E36" i="1"/>
  <c r="D36" i="1"/>
  <c r="K24" i="1"/>
  <c r="E24" i="1"/>
  <c r="D24" i="1"/>
  <c r="K9" i="1"/>
  <c r="E9" i="1"/>
  <c r="D9" i="1"/>
  <c r="K39" i="1"/>
  <c r="E39" i="1"/>
  <c r="D39" i="1"/>
  <c r="K7" i="1"/>
  <c r="E7" i="1"/>
  <c r="D7" i="1"/>
  <c r="K8" i="1"/>
  <c r="E8" i="1"/>
  <c r="D8" i="1"/>
  <c r="E13" i="1"/>
  <c r="E14" i="1"/>
  <c r="K13" i="1"/>
  <c r="K14" i="1"/>
  <c r="D13" i="1"/>
  <c r="D14" i="1"/>
  <c r="D105" i="1"/>
  <c r="C102" i="1"/>
  <c r="C104" i="1"/>
  <c r="C103" i="1"/>
  <c r="K98" i="1"/>
  <c r="K33" i="1"/>
  <c r="K3" i="1"/>
  <c r="H58" i="7"/>
  <c r="K2" i="1"/>
  <c r="E33" i="1"/>
  <c r="D33" i="1"/>
  <c r="C17" i="5"/>
  <c r="F17" i="5"/>
  <c r="G17" i="5"/>
  <c r="C18" i="5"/>
  <c r="F18" i="5"/>
  <c r="G18" i="5"/>
  <c r="C19" i="5"/>
  <c r="F19" i="5"/>
  <c r="G19" i="5"/>
  <c r="C20" i="5"/>
  <c r="F20" i="5"/>
  <c r="G20" i="5"/>
  <c r="D25" i="5"/>
  <c r="F10" i="5"/>
  <c r="G10" i="5" s="1"/>
  <c r="C10" i="5"/>
  <c r="F9" i="5"/>
  <c r="G9" i="5"/>
  <c r="C9" i="5"/>
  <c r="F8" i="5"/>
  <c r="G8" i="5" s="1"/>
  <c r="C8" i="5"/>
  <c r="F7" i="5"/>
  <c r="G7" i="5" s="1"/>
  <c r="C7" i="5"/>
  <c r="F6" i="5"/>
  <c r="G6" i="5"/>
  <c r="C6" i="5"/>
  <c r="F5" i="5"/>
  <c r="G5" i="5"/>
  <c r="C5" i="5"/>
  <c r="M5" i="5" s="1"/>
  <c r="N5" i="5" s="1"/>
  <c r="F4" i="5"/>
  <c r="G4" i="5" s="1"/>
  <c r="C4" i="5"/>
  <c r="D3" i="1"/>
  <c r="E3" i="1"/>
  <c r="C11" i="5"/>
  <c r="C12" i="5"/>
  <c r="C13" i="5"/>
  <c r="C14" i="5"/>
  <c r="C15" i="5"/>
  <c r="C16" i="5"/>
  <c r="C21" i="5"/>
  <c r="C22" i="5"/>
  <c r="C23" i="5"/>
  <c r="C24" i="5"/>
  <c r="F9" i="6"/>
  <c r="F10" i="6"/>
  <c r="F11" i="6"/>
  <c r="F12" i="6"/>
  <c r="F13" i="6"/>
  <c r="F14" i="6"/>
  <c r="F15" i="6"/>
  <c r="B9" i="6"/>
  <c r="B10" i="6"/>
  <c r="B11" i="6"/>
  <c r="B12" i="6"/>
  <c r="B13" i="6"/>
  <c r="B14" i="6"/>
  <c r="B15" i="6"/>
  <c r="B8" i="6"/>
  <c r="F8" i="6"/>
  <c r="F11" i="5"/>
  <c r="F12" i="5"/>
  <c r="G12" i="5"/>
  <c r="F13" i="5"/>
  <c r="G13" i="5"/>
  <c r="F14" i="5"/>
  <c r="G14" i="5"/>
  <c r="F15" i="5"/>
  <c r="G15" i="5"/>
  <c r="G16" i="5"/>
  <c r="F21" i="5"/>
  <c r="G21" i="5"/>
  <c r="F22" i="5"/>
  <c r="G22" i="5"/>
  <c r="F23" i="5"/>
  <c r="G23" i="5" s="1"/>
  <c r="F24" i="5"/>
  <c r="G24" i="5"/>
  <c r="G11" i="5"/>
  <c r="D17" i="1" l="1"/>
  <c r="M6" i="5"/>
  <c r="N6" i="5" s="1"/>
  <c r="O10" i="6"/>
  <c r="O14" i="6"/>
  <c r="O13" i="6"/>
  <c r="O6" i="6"/>
  <c r="O15" i="6"/>
  <c r="O8" i="6"/>
  <c r="F20" i="6"/>
  <c r="O4" i="6"/>
  <c r="I20" i="6"/>
  <c r="O5" i="6"/>
  <c r="O12" i="6"/>
  <c r="O7" i="6"/>
  <c r="O11" i="6"/>
  <c r="O9" i="6"/>
  <c r="G25" i="5"/>
  <c r="M4" i="5"/>
  <c r="F25" i="5"/>
  <c r="N4" i="5"/>
  <c r="M7" i="5"/>
  <c r="N7" i="5" s="1"/>
  <c r="C60" i="7"/>
  <c r="E17" i="1"/>
  <c r="B103" i="1"/>
  <c r="B115" i="1" s="1"/>
  <c r="B102" i="1"/>
  <c r="H62" i="7"/>
  <c r="C40" i="7"/>
  <c r="C105" i="1"/>
  <c r="H45" i="7"/>
  <c r="C15" i="7"/>
  <c r="C61" i="7"/>
  <c r="C19" i="7"/>
  <c r="C43" i="7"/>
  <c r="H28" i="7"/>
  <c r="H14" i="7"/>
  <c r="H37" i="7"/>
  <c r="C24" i="7"/>
  <c r="H17" i="7"/>
  <c r="C18" i="7"/>
  <c r="H20" i="7"/>
  <c r="C17" i="7"/>
  <c r="C25" i="7"/>
  <c r="H33" i="7"/>
  <c r="H30" i="7"/>
  <c r="H21" i="7"/>
  <c r="H47" i="7"/>
  <c r="I47" i="7" s="1"/>
  <c r="C22" i="7"/>
  <c r="C12" i="7"/>
  <c r="D12" i="7" s="1"/>
  <c r="H25" i="7"/>
  <c r="I24" i="7" s="1"/>
  <c r="C27" i="7"/>
  <c r="C31" i="7"/>
  <c r="D30" i="7" s="1"/>
  <c r="C44" i="7"/>
  <c r="H36" i="7"/>
  <c r="C28" i="7"/>
  <c r="C14" i="7"/>
  <c r="C35" i="7"/>
  <c r="H10" i="7"/>
  <c r="I10" i="7" s="1"/>
  <c r="H31" i="7"/>
  <c r="H16" i="7"/>
  <c r="C37" i="7"/>
  <c r="C26" i="7"/>
  <c r="C41" i="7"/>
  <c r="H35" i="7"/>
  <c r="H22" i="7"/>
  <c r="C10" i="7"/>
  <c r="D10" i="7" s="1"/>
  <c r="H39" i="7"/>
  <c r="C36" i="7"/>
  <c r="H40" i="7"/>
  <c r="C33" i="7"/>
  <c r="H13" i="7"/>
  <c r="H12" i="7"/>
  <c r="C16" i="7"/>
  <c r="H43" i="7"/>
  <c r="C21" i="7"/>
  <c r="C38" i="7"/>
  <c r="H24" i="7"/>
  <c r="C42" i="7"/>
  <c r="C45" i="7"/>
  <c r="D45" i="7" s="1"/>
  <c r="C30" i="7"/>
  <c r="H18" i="7"/>
  <c r="H41" i="7"/>
  <c r="C20" i="7"/>
  <c r="H44" i="7"/>
  <c r="B119" i="1" l="1"/>
  <c r="O20" i="6"/>
  <c r="O21" i="6" s="1"/>
  <c r="M8" i="5"/>
  <c r="N8" i="5"/>
  <c r="I43" i="7"/>
  <c r="D14" i="7"/>
  <c r="I35" i="7"/>
  <c r="I39" i="7"/>
  <c r="I20" i="7"/>
  <c r="I12" i="7"/>
  <c r="D40" i="7"/>
  <c r="I16" i="7"/>
  <c r="D24" i="7"/>
  <c r="D35" i="7"/>
  <c r="I49" i="7" l="1"/>
  <c r="D49" i="7"/>
  <c r="I51" i="7" l="1"/>
  <c r="I53" i="7" s="1"/>
  <c r="D51" i="7"/>
  <c r="D53" i="7" l="1"/>
  <c r="D2" i="1" l="1"/>
  <c r="E2" i="1"/>
  <c r="D5" i="10"/>
  <c r="E5" i="10" s="1"/>
  <c r="B104" i="1"/>
  <c r="C59" i="7"/>
  <c r="C62" i="7" s="1"/>
  <c r="H64" i="7" s="1"/>
  <c r="P66" i="10" l="1"/>
  <c r="T57" i="10"/>
  <c r="D47" i="10"/>
  <c r="L36" i="10"/>
  <c r="T25" i="10"/>
  <c r="D15" i="10"/>
  <c r="P9" i="10"/>
  <c r="H49" i="10"/>
  <c r="P22" i="10"/>
  <c r="L54" i="10"/>
  <c r="L22" i="10"/>
  <c r="X65" i="10"/>
  <c r="X54" i="10"/>
  <c r="H44" i="10"/>
  <c r="P33" i="10"/>
  <c r="X22" i="10"/>
  <c r="H12" i="10"/>
  <c r="X51" i="10"/>
  <c r="H9" i="10"/>
  <c r="T35" i="10"/>
  <c r="H65" i="10"/>
  <c r="D60" i="10"/>
  <c r="L49" i="10"/>
  <c r="T38" i="10"/>
  <c r="D28" i="10"/>
  <c r="L17" i="10"/>
  <c r="P58" i="10"/>
  <c r="H29" i="10"/>
  <c r="T59" i="10"/>
  <c r="D29" i="10"/>
  <c r="H58" i="10"/>
  <c r="P36" i="10"/>
  <c r="P7" i="10"/>
  <c r="P52" i="10"/>
  <c r="H27" i="10"/>
  <c r="H51" i="10"/>
  <c r="D50" i="10"/>
  <c r="X21" i="10"/>
  <c r="T20" i="10"/>
  <c r="T44" i="10"/>
  <c r="P15" i="10"/>
  <c r="X53" i="10"/>
  <c r="T24" i="10"/>
  <c r="P27" i="10"/>
  <c r="P51" i="10"/>
  <c r="H23" i="10"/>
  <c r="T53" i="10"/>
  <c r="D11" i="10"/>
  <c r="P10" i="10"/>
  <c r="P61" i="10"/>
  <c r="P29" i="10"/>
  <c r="P5" i="10"/>
  <c r="L58" i="10"/>
  <c r="X52" i="10"/>
  <c r="T34" i="10"/>
  <c r="P46" i="10"/>
  <c r="T15" i="10"/>
  <c r="X45" i="10"/>
  <c r="H19" i="10"/>
  <c r="X44" i="10"/>
  <c r="H42" i="10"/>
  <c r="P19" i="10"/>
  <c r="L52" i="10"/>
  <c r="L20" i="10"/>
  <c r="P34" i="10"/>
  <c r="L6" i="10"/>
  <c r="X38" i="10"/>
  <c r="L5" i="10"/>
  <c r="D21" i="10"/>
  <c r="D44" i="10"/>
  <c r="D12" i="10"/>
  <c r="D45" i="10"/>
  <c r="D22" i="10"/>
  <c r="T40" i="10"/>
  <c r="H7" i="10"/>
  <c r="D26" i="10"/>
  <c r="D38" i="10"/>
  <c r="T61" i="10"/>
  <c r="T29" i="10"/>
  <c r="H61" i="10"/>
  <c r="L34" i="10"/>
  <c r="H48" i="10"/>
  <c r="H16" i="10"/>
  <c r="T47" i="10"/>
  <c r="L56" i="10"/>
  <c r="T45" i="10"/>
  <c r="D35" i="10"/>
  <c r="L24" i="10"/>
  <c r="T13" i="10"/>
  <c r="X6" i="10"/>
  <c r="H45" i="10"/>
  <c r="P18" i="10"/>
  <c r="L50" i="10"/>
  <c r="L18" i="10"/>
  <c r="L64" i="10"/>
  <c r="P53" i="10"/>
  <c r="X42" i="10"/>
  <c r="H32" i="10"/>
  <c r="P21" i="10"/>
  <c r="X10" i="10"/>
  <c r="X47" i="10"/>
  <c r="H5" i="10"/>
  <c r="T31" i="10"/>
  <c r="X60" i="10"/>
  <c r="T58" i="10"/>
  <c r="D48" i="10"/>
  <c r="L37" i="10"/>
  <c r="T26" i="10"/>
  <c r="D16" i="10"/>
  <c r="P54" i="10"/>
  <c r="P26" i="10"/>
  <c r="T55" i="10"/>
  <c r="T23" i="10"/>
  <c r="H54" i="10"/>
  <c r="T32" i="10"/>
  <c r="L7" i="10"/>
  <c r="X41" i="10"/>
  <c r="P16" i="10"/>
  <c r="P40" i="10"/>
  <c r="H46" i="10"/>
  <c r="D18" i="10"/>
  <c r="D10" i="10"/>
  <c r="D34" i="10"/>
  <c r="T60" i="10"/>
  <c r="X49" i="10"/>
  <c r="X20" i="10"/>
  <c r="X16" i="10"/>
  <c r="X40" i="10"/>
  <c r="P12" i="10"/>
  <c r="D43" i="10"/>
  <c r="T21" i="10"/>
  <c r="H37" i="10"/>
  <c r="L10" i="10"/>
  <c r="H40" i="10"/>
  <c r="D56" i="10"/>
  <c r="D24" i="10"/>
  <c r="X19" i="10"/>
  <c r="H55" i="10"/>
  <c r="P23" i="10"/>
  <c r="L39" i="10"/>
  <c r="T12" i="10"/>
  <c r="D14" i="10"/>
  <c r="P43" i="10"/>
  <c r="T41" i="10"/>
  <c r="T9" i="10"/>
  <c r="P6" i="10"/>
  <c r="H60" i="10"/>
  <c r="H28" i="10"/>
  <c r="X31" i="10"/>
  <c r="T65" i="10"/>
  <c r="L33" i="10"/>
  <c r="P42" i="10"/>
  <c r="T11" i="10"/>
  <c r="H35" i="10"/>
  <c r="P11" i="10"/>
  <c r="H34" i="10"/>
  <c r="H39" i="10"/>
  <c r="X8" i="10"/>
  <c r="D51" i="10"/>
  <c r="D19" i="10"/>
  <c r="P30" i="10"/>
  <c r="P63" i="10"/>
  <c r="P37" i="10"/>
  <c r="P62" i="10"/>
  <c r="D17" i="10"/>
  <c r="D55" i="10"/>
  <c r="L44" i="10"/>
  <c r="T33" i="10"/>
  <c r="D23" i="10"/>
  <c r="L12" i="10"/>
  <c r="L9" i="10"/>
  <c r="H41" i="10"/>
  <c r="P14" i="10"/>
  <c r="L46" i="10"/>
  <c r="L14" i="10"/>
  <c r="X62" i="10"/>
  <c r="H52" i="10"/>
  <c r="P41" i="10"/>
  <c r="X30" i="10"/>
  <c r="H20" i="10"/>
  <c r="H8" i="10"/>
  <c r="X43" i="10"/>
  <c r="L62" i="10"/>
  <c r="T27" i="10"/>
  <c r="X56" i="10"/>
  <c r="L57" i="10"/>
  <c r="T46" i="10"/>
  <c r="D36" i="10"/>
  <c r="L25" i="10"/>
  <c r="T14" i="10"/>
  <c r="P50" i="10"/>
  <c r="X23" i="10"/>
  <c r="D53" i="10"/>
  <c r="T19" i="10"/>
  <c r="P60" i="10"/>
  <c r="X28" i="10"/>
  <c r="D58" i="10"/>
  <c r="H31" i="10"/>
  <c r="X5" i="10"/>
  <c r="X29" i="10"/>
  <c r="H43" i="10"/>
  <c r="H14" i="10"/>
  <c r="X57" i="10"/>
  <c r="L23" i="10"/>
  <c r="L47" i="10"/>
  <c r="D46" i="10"/>
  <c r="X17" i="10"/>
  <c r="H6" i="10"/>
  <c r="H30" i="10"/>
  <c r="L55" i="10"/>
  <c r="P64" i="10"/>
  <c r="L32" i="10"/>
  <c r="T6" i="10"/>
  <c r="L42" i="10"/>
  <c r="X50" i="10"/>
  <c r="X18" i="10"/>
  <c r="X39" i="10"/>
  <c r="D25" i="10"/>
  <c r="L45" i="10"/>
  <c r="L13" i="10"/>
  <c r="D49" i="10"/>
  <c r="X25" i="10"/>
  <c r="L51" i="10"/>
  <c r="H11" i="10"/>
  <c r="T36" i="10"/>
  <c r="T48" i="10"/>
  <c r="D63" i="10"/>
  <c r="D31" i="10"/>
  <c r="X63" i="10"/>
  <c r="L38" i="10"/>
  <c r="P49" i="10"/>
  <c r="P17" i="10"/>
  <c r="T51" i="10"/>
  <c r="T54" i="10"/>
  <c r="T22" i="10"/>
  <c r="X15" i="10"/>
  <c r="H50" i="10"/>
  <c r="X12" i="10"/>
  <c r="P35" i="10"/>
  <c r="X61" i="10"/>
  <c r="H10" i="10"/>
  <c r="X32" i="10"/>
  <c r="L40" i="10"/>
  <c r="L8" i="10"/>
  <c r="L65" i="10"/>
  <c r="X58" i="10"/>
  <c r="X26" i="10"/>
  <c r="H21" i="10"/>
  <c r="H64" i="10"/>
  <c r="T37" i="10"/>
  <c r="H53" i="10"/>
  <c r="P55" i="10"/>
  <c r="H24" i="10"/>
  <c r="T39" i="10"/>
  <c r="T42" i="10"/>
  <c r="T18" i="10"/>
  <c r="X7" i="10"/>
  <c r="H47" i="10"/>
  <c r="H63" i="10"/>
  <c r="L59" i="10"/>
  <c r="P20" i="10"/>
  <c r="H59" i="10"/>
  <c r="T16" i="10"/>
  <c r="D27" i="10"/>
  <c r="H56" i="10"/>
  <c r="T7" i="10"/>
  <c r="D8" i="10"/>
  <c r="P39" i="10"/>
  <c r="P32" i="10"/>
  <c r="P31" i="10"/>
  <c r="L60" i="10"/>
  <c r="D61" i="10"/>
  <c r="X59" i="10"/>
  <c r="D32" i="10"/>
  <c r="D37" i="10"/>
  <c r="X37" i="10"/>
  <c r="P28" i="10"/>
  <c r="L28" i="10"/>
  <c r="X27" i="10"/>
  <c r="P57" i="10"/>
  <c r="X14" i="10"/>
  <c r="D13" i="10"/>
  <c r="L41" i="10"/>
  <c r="T10" i="10"/>
  <c r="T63" i="10"/>
  <c r="L43" i="10"/>
  <c r="D62" i="10"/>
  <c r="D54" i="10"/>
  <c r="X9" i="10"/>
  <c r="L35" i="10"/>
  <c r="D6" i="10"/>
  <c r="E6" i="10" s="1"/>
  <c r="H25" i="10"/>
  <c r="P13" i="10"/>
  <c r="D40" i="10"/>
  <c r="D41" i="10"/>
  <c r="P48" i="10"/>
  <c r="T56" i="10"/>
  <c r="P56" i="10"/>
  <c r="T17" i="10"/>
  <c r="X46" i="10"/>
  <c r="T62" i="10"/>
  <c r="P65" i="10"/>
  <c r="H18" i="10"/>
  <c r="P47" i="10"/>
  <c r="H22" i="10"/>
  <c r="D59" i="10"/>
  <c r="L16" i="10"/>
  <c r="D57" i="10"/>
  <c r="P45" i="10"/>
  <c r="X55" i="10"/>
  <c r="L61" i="10"/>
  <c r="T30" i="10"/>
  <c r="P38" i="10"/>
  <c r="D33" i="10"/>
  <c r="H15" i="10"/>
  <c r="D30" i="10"/>
  <c r="X24" i="10"/>
  <c r="X36" i="10"/>
  <c r="L63" i="10"/>
  <c r="X33" i="10"/>
  <c r="T49" i="10"/>
  <c r="D7" i="10"/>
  <c r="L30" i="10"/>
  <c r="H36" i="10"/>
  <c r="H17" i="10"/>
  <c r="L53" i="10"/>
  <c r="L29" i="10"/>
  <c r="X35" i="10"/>
  <c r="D9" i="10"/>
  <c r="L11" i="10"/>
  <c r="L19" i="10"/>
  <c r="T52" i="10"/>
  <c r="H26" i="10"/>
  <c r="X48" i="10"/>
  <c r="L48" i="10"/>
  <c r="T5" i="10"/>
  <c r="L26" i="10"/>
  <c r="X34" i="10"/>
  <c r="H13" i="10"/>
  <c r="D52" i="10"/>
  <c r="L21" i="10"/>
  <c r="H33" i="10"/>
  <c r="P24" i="10"/>
  <c r="T8" i="10"/>
  <c r="D42" i="10"/>
  <c r="L15" i="10"/>
  <c r="H38" i="10"/>
  <c r="P8" i="10"/>
  <c r="D39" i="10"/>
  <c r="H57" i="10"/>
  <c r="P59" i="10"/>
  <c r="P25" i="10"/>
  <c r="T43" i="10"/>
  <c r="T50" i="10"/>
  <c r="D20" i="10"/>
  <c r="X11" i="10"/>
  <c r="H62" i="10"/>
  <c r="X13" i="10"/>
  <c r="X64" i="10"/>
  <c r="L31" i="10"/>
  <c r="T64" i="10"/>
  <c r="L27" i="10"/>
  <c r="T28" i="10"/>
  <c r="P44" i="10"/>
  <c r="B111" i="1"/>
  <c r="B105" i="1"/>
  <c r="E7" i="10" l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I5" i="10" s="1"/>
  <c r="I6" i="10" s="1"/>
  <c r="I7" i="10" s="1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24" i="10" s="1"/>
  <c r="I25" i="10" s="1"/>
  <c r="I26" i="10" s="1"/>
  <c r="I27" i="10" s="1"/>
  <c r="I28" i="10" s="1"/>
  <c r="I29" i="10" s="1"/>
  <c r="I30" i="10" s="1"/>
  <c r="I31" i="10" s="1"/>
  <c r="I32" i="10" s="1"/>
  <c r="I33" i="10" s="1"/>
  <c r="I34" i="10" s="1"/>
  <c r="I35" i="10" s="1"/>
  <c r="I36" i="10" s="1"/>
  <c r="I37" i="10" s="1"/>
  <c r="I38" i="10" s="1"/>
  <c r="I39" i="10" s="1"/>
  <c r="I40" i="10" s="1"/>
  <c r="I41" i="10" s="1"/>
  <c r="I42" i="10" s="1"/>
  <c r="I43" i="10" s="1"/>
  <c r="I44" i="10" s="1"/>
  <c r="I45" i="10" s="1"/>
  <c r="I46" i="10" s="1"/>
  <c r="I47" i="10" s="1"/>
  <c r="I48" i="10" s="1"/>
  <c r="I49" i="10" s="1"/>
  <c r="I50" i="10" s="1"/>
  <c r="I51" i="10" s="1"/>
  <c r="I52" i="10" s="1"/>
  <c r="I53" i="10" s="1"/>
  <c r="I54" i="10" s="1"/>
  <c r="I55" i="10" s="1"/>
  <c r="I56" i="10" s="1"/>
  <c r="I57" i="10" s="1"/>
  <c r="I58" i="10" s="1"/>
  <c r="I59" i="10" s="1"/>
  <c r="I60" i="10" s="1"/>
  <c r="I61" i="10" s="1"/>
  <c r="I62" i="10" s="1"/>
  <c r="I63" i="10" s="1"/>
  <c r="I64" i="10" s="1"/>
  <c r="I65" i="10" s="1"/>
  <c r="M5" i="10" s="1"/>
  <c r="M6" i="10" s="1"/>
  <c r="M7" i="10" s="1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M39" i="10" s="1"/>
  <c r="M40" i="10" s="1"/>
  <c r="M41" i="10" s="1"/>
  <c r="M42" i="10" s="1"/>
  <c r="M43" i="10" s="1"/>
  <c r="M44" i="10" s="1"/>
  <c r="M45" i="10" s="1"/>
  <c r="M46" i="10" s="1"/>
  <c r="M47" i="10" s="1"/>
  <c r="M48" i="10" s="1"/>
  <c r="M49" i="10" s="1"/>
  <c r="M50" i="10" s="1"/>
  <c r="M51" i="10" s="1"/>
  <c r="M52" i="10" s="1"/>
  <c r="M53" i="10" s="1"/>
  <c r="M54" i="10" s="1"/>
  <c r="M55" i="10" s="1"/>
  <c r="M56" i="10" s="1"/>
  <c r="M57" i="10" s="1"/>
  <c r="M58" i="10" s="1"/>
  <c r="M59" i="10" s="1"/>
  <c r="M60" i="10" s="1"/>
  <c r="M61" i="10" s="1"/>
  <c r="M62" i="10" s="1"/>
  <c r="M63" i="10" s="1"/>
  <c r="M64" i="10" s="1"/>
  <c r="M65" i="10" s="1"/>
  <c r="Q5" i="10" s="1"/>
  <c r="Q6" i="10" s="1"/>
  <c r="Q7" i="10" s="1"/>
  <c r="Q8" i="10" s="1"/>
  <c r="Q9" i="10" s="1"/>
  <c r="Q10" i="10" s="1"/>
  <c r="Q11" i="10" s="1"/>
  <c r="Q12" i="10" s="1"/>
  <c r="Q13" i="10" s="1"/>
  <c r="Q14" i="10" s="1"/>
  <c r="Q15" i="10" s="1"/>
  <c r="Q16" i="10" s="1"/>
  <c r="Q17" i="10" s="1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Q35" i="10" s="1"/>
  <c r="Q36" i="10" s="1"/>
  <c r="Q37" i="10" s="1"/>
  <c r="Q38" i="10" s="1"/>
  <c r="Q39" i="10" s="1"/>
  <c r="Q40" i="10" s="1"/>
  <c r="Q41" i="10" s="1"/>
  <c r="Q42" i="10" s="1"/>
  <c r="Q43" i="10" s="1"/>
  <c r="Q44" i="10" s="1"/>
  <c r="Q45" i="10" s="1"/>
  <c r="Q46" i="10" s="1"/>
  <c r="Q47" i="10" s="1"/>
  <c r="Q48" i="10" s="1"/>
  <c r="Q49" i="10" s="1"/>
  <c r="Q50" i="10" s="1"/>
  <c r="Q51" i="10" s="1"/>
  <c r="Q52" i="10" s="1"/>
  <c r="Q53" i="10" s="1"/>
  <c r="Q54" i="10" s="1"/>
  <c r="Q55" i="10" s="1"/>
  <c r="Q56" i="10" s="1"/>
  <c r="Q57" i="10" s="1"/>
  <c r="Q58" i="10" s="1"/>
  <c r="Q59" i="10" s="1"/>
  <c r="Q60" i="10" s="1"/>
  <c r="Q61" i="10" s="1"/>
  <c r="Q62" i="10" s="1"/>
  <c r="Q63" i="10" s="1"/>
  <c r="Q64" i="10" s="1"/>
  <c r="Q65" i="10" s="1"/>
  <c r="Q66" i="10" s="1"/>
  <c r="U5" i="10" s="1"/>
  <c r="U6" i="10" s="1"/>
  <c r="U7" i="10" s="1"/>
  <c r="U8" i="10" s="1"/>
  <c r="U9" i="10" s="1"/>
  <c r="U10" i="10" s="1"/>
  <c r="U11" i="10" s="1"/>
  <c r="U12" i="10" s="1"/>
  <c r="U13" i="10" s="1"/>
  <c r="U14" i="10" s="1"/>
  <c r="U15" i="10" s="1"/>
  <c r="U16" i="10" s="1"/>
  <c r="U17" i="10" s="1"/>
  <c r="U18" i="10" s="1"/>
  <c r="U19" i="10" s="1"/>
  <c r="U20" i="10" s="1"/>
  <c r="U21" i="10" s="1"/>
  <c r="U22" i="10" s="1"/>
  <c r="U23" i="10" s="1"/>
  <c r="U24" i="10" s="1"/>
  <c r="U25" i="10" s="1"/>
  <c r="U26" i="10" s="1"/>
  <c r="U27" i="10" s="1"/>
  <c r="U28" i="10" s="1"/>
  <c r="U29" i="10" s="1"/>
  <c r="U30" i="10" s="1"/>
  <c r="U31" i="10" s="1"/>
  <c r="U32" i="10" s="1"/>
  <c r="U33" i="10" s="1"/>
  <c r="U34" i="10" s="1"/>
  <c r="U35" i="10" s="1"/>
  <c r="U36" i="10" s="1"/>
  <c r="U37" i="10" s="1"/>
  <c r="U38" i="10" s="1"/>
  <c r="U39" i="10" s="1"/>
  <c r="U40" i="10" s="1"/>
  <c r="U41" i="10" s="1"/>
  <c r="U42" i="10" s="1"/>
  <c r="U43" i="10" s="1"/>
  <c r="U44" i="10" s="1"/>
  <c r="U45" i="10" s="1"/>
  <c r="U46" i="10" s="1"/>
  <c r="U47" i="10" s="1"/>
  <c r="U48" i="10" s="1"/>
  <c r="U49" i="10" s="1"/>
  <c r="U50" i="10" s="1"/>
  <c r="U51" i="10" s="1"/>
  <c r="U52" i="10" s="1"/>
  <c r="U53" i="10" s="1"/>
  <c r="U54" i="10" s="1"/>
  <c r="U55" i="10" s="1"/>
  <c r="U56" i="10" s="1"/>
  <c r="U57" i="10" s="1"/>
  <c r="U58" i="10" s="1"/>
  <c r="U59" i="10" s="1"/>
  <c r="U60" i="10" s="1"/>
  <c r="U61" i="10" s="1"/>
  <c r="U62" i="10" s="1"/>
  <c r="U63" i="10" s="1"/>
  <c r="U64" i="10" s="1"/>
  <c r="U65" i="10" s="1"/>
  <c r="Y5" i="10" s="1"/>
  <c r="Y6" i="10" s="1"/>
  <c r="Y7" i="10" s="1"/>
  <c r="Y8" i="10" s="1"/>
  <c r="Y9" i="10" s="1"/>
  <c r="Y10" i="10" s="1"/>
  <c r="Y11" i="10" s="1"/>
  <c r="Y12" i="10" s="1"/>
  <c r="Y13" i="10" s="1"/>
  <c r="Y14" i="10" s="1"/>
  <c r="Y15" i="10" s="1"/>
  <c r="Y16" i="10" s="1"/>
  <c r="Y17" i="10" s="1"/>
  <c r="Y18" i="10" s="1"/>
  <c r="Y19" i="10" s="1"/>
  <c r="Y20" i="10" s="1"/>
  <c r="Y21" i="10" s="1"/>
  <c r="Y22" i="10" s="1"/>
  <c r="Y23" i="10" s="1"/>
  <c r="Y24" i="10" s="1"/>
  <c r="Y25" i="10" s="1"/>
  <c r="Y26" i="10" s="1"/>
  <c r="Y27" i="10" s="1"/>
  <c r="Y28" i="10" s="1"/>
  <c r="Y29" i="10" s="1"/>
  <c r="Y30" i="10" s="1"/>
  <c r="Y31" i="10" s="1"/>
  <c r="Y32" i="10" s="1"/>
  <c r="Y33" i="10" s="1"/>
  <c r="Y34" i="10" s="1"/>
  <c r="Y35" i="10" s="1"/>
  <c r="Y36" i="10" s="1"/>
  <c r="Y37" i="10" s="1"/>
  <c r="Y38" i="10" s="1"/>
  <c r="Y39" i="10" s="1"/>
  <c r="Y40" i="10" s="1"/>
  <c r="Y41" i="10" s="1"/>
  <c r="Y42" i="10" s="1"/>
  <c r="Y43" i="10" s="1"/>
  <c r="Y44" i="10" s="1"/>
  <c r="Y45" i="10" s="1"/>
  <c r="Y46" i="10" s="1"/>
  <c r="Y47" i="10" s="1"/>
  <c r="Y48" i="10" s="1"/>
  <c r="Y49" i="10" s="1"/>
  <c r="Y50" i="10" s="1"/>
  <c r="Y51" i="10" s="1"/>
  <c r="Y52" i="10" s="1"/>
  <c r="Y53" i="10" s="1"/>
  <c r="Y54" i="10" s="1"/>
  <c r="Y55" i="10" s="1"/>
  <c r="Y56" i="10" s="1"/>
  <c r="Y57" i="10" s="1"/>
  <c r="Y58" i="10" s="1"/>
  <c r="Y59" i="10" s="1"/>
  <c r="Y60" i="10" s="1"/>
  <c r="Y61" i="10" s="1"/>
  <c r="Y62" i="10" s="1"/>
  <c r="Y63" i="10" s="1"/>
  <c r="Y64" i="10" s="1"/>
  <c r="Y65" i="10" s="1"/>
  <c r="G1" i="10" s="1"/>
</calcChain>
</file>

<file path=xl/sharedStrings.xml><?xml version="1.0" encoding="utf-8"?>
<sst xmlns="http://schemas.openxmlformats.org/spreadsheetml/2006/main" count="748" uniqueCount="282">
  <si>
    <t>Data</t>
  </si>
  <si>
    <t>€</t>
  </si>
  <si>
    <t>descrizione</t>
  </si>
  <si>
    <t>virtual</t>
  </si>
  <si>
    <t>evento</t>
  </si>
  <si>
    <t>commento</t>
  </si>
  <si>
    <t>C</t>
  </si>
  <si>
    <t>B</t>
  </si>
  <si>
    <t>fornitore/cliente</t>
  </si>
  <si>
    <t>Banca Etica</t>
  </si>
  <si>
    <t>Banca</t>
  </si>
  <si>
    <t>Cassa</t>
  </si>
  <si>
    <t>diff</t>
  </si>
  <si>
    <t>CASSA</t>
  </si>
  <si>
    <t>GENERALE</t>
  </si>
  <si>
    <t>Values</t>
  </si>
  <si>
    <t>Brusacà</t>
  </si>
  <si>
    <t>Utenti</t>
  </si>
  <si>
    <t>Morchio M.</t>
  </si>
  <si>
    <t>BANCA</t>
  </si>
  <si>
    <t>Registro ft attive</t>
  </si>
  <si>
    <t>Data ft</t>
  </si>
  <si>
    <t>imponibile</t>
  </si>
  <si>
    <t>Iva</t>
  </si>
  <si>
    <t>% Iva</t>
  </si>
  <si>
    <t>Tot ft</t>
  </si>
  <si>
    <t>Cliente</t>
  </si>
  <si>
    <t>N.</t>
  </si>
  <si>
    <t>Data vers</t>
  </si>
  <si>
    <t>Ritenute d'acconto</t>
  </si>
  <si>
    <t>Data pag</t>
  </si>
  <si>
    <t>% r.a.</t>
  </si>
  <si>
    <t>Ft</t>
  </si>
  <si>
    <t>R.a.</t>
  </si>
  <si>
    <t>Tot pag</t>
  </si>
  <si>
    <t>Fornitore</t>
  </si>
  <si>
    <t>Mese</t>
  </si>
  <si>
    <t>trim</t>
  </si>
  <si>
    <t>Trim</t>
  </si>
  <si>
    <t>I</t>
  </si>
  <si>
    <t>II</t>
  </si>
  <si>
    <t>III</t>
  </si>
  <si>
    <t>IV</t>
  </si>
  <si>
    <t>Iva vers 50%</t>
  </si>
  <si>
    <t>INCANTASTORIE 2016</t>
  </si>
  <si>
    <t>E</t>
  </si>
  <si>
    <t>U</t>
  </si>
  <si>
    <t>Sum of E</t>
  </si>
  <si>
    <t>Sum of U</t>
  </si>
  <si>
    <t>Sum of €</t>
  </si>
  <si>
    <t>apertura 2016</t>
  </si>
  <si>
    <t>IVA</t>
  </si>
  <si>
    <t>consulenza fiscale</t>
  </si>
  <si>
    <t>Morchio A.</t>
  </si>
  <si>
    <t>NS parcheggi</t>
  </si>
  <si>
    <t>compenso artisti</t>
  </si>
  <si>
    <t>Erario</t>
  </si>
  <si>
    <t>ASS. CULTURALE LA BOTTEGA DELLE FAVOLE</t>
  </si>
  <si>
    <t>RENDICONTO ECONOMICO</t>
  </si>
  <si>
    <t>(con eventuale attività commerciale)</t>
  </si>
  <si>
    <t>Esercizio Sociale anno</t>
  </si>
  <si>
    <t>COSTI ISTITUZIONALI</t>
  </si>
  <si>
    <t>CODICE</t>
  </si>
  <si>
    <t>subtotali</t>
  </si>
  <si>
    <t>totali</t>
  </si>
  <si>
    <t>RICAVI ISTITUZIONALI</t>
  </si>
  <si>
    <t>TESSERAMENTO (AFFILIAZIONI E TESSERE)</t>
  </si>
  <si>
    <t>QUOTE SOCIALI</t>
  </si>
  <si>
    <t>COSTI SEDE</t>
  </si>
  <si>
    <t>CONTRIBUTI PUBBLICI</t>
  </si>
  <si>
    <t>CONTRIBUTO PROVINCIA …</t>
  </si>
  <si>
    <t>COSTI GENERALI</t>
  </si>
  <si>
    <t>CONTRIBUTO COMUNE …</t>
  </si>
  <si>
    <t>SPESE TELEFONICHE</t>
  </si>
  <si>
    <t>SPESE POSTALI</t>
  </si>
  <si>
    <t>CONTRIBUTI PRIVATI</t>
  </si>
  <si>
    <t>ENERGIA ELETTRICA, GAS, ACQUA</t>
  </si>
  <si>
    <t>DONAZIONI ED EROGAZIONI LIBERALI</t>
  </si>
  <si>
    <t>SPESE PULIZIA</t>
  </si>
  <si>
    <t>CONTRIBUTI DA SOCI E/O PRIVATI</t>
  </si>
  <si>
    <t>ACQUISTO CANCELLERIA</t>
  </si>
  <si>
    <t>PROFESSIONISTI</t>
  </si>
  <si>
    <t>ATTIVITÀ E MANIFESTAZ. CULTURALI</t>
  </si>
  <si>
    <t>GESTIONE SITO WEB</t>
  </si>
  <si>
    <t>QUOTE PARTECIPAZIONE ATTIVITÀ CULT.</t>
  </si>
  <si>
    <t>ALTRI COSTI GENERALI</t>
  </si>
  <si>
    <t>QUOTE PARTECIPAZIONE CORSI</t>
  </si>
  <si>
    <t>PROVENTI FINANZIARI</t>
  </si>
  <si>
    <t>INTERESSI ATTIVI</t>
  </si>
  <si>
    <t>RIMBORSI SPESE VIAGGIO</t>
  </si>
  <si>
    <t>ONERI FINANZIARI</t>
  </si>
  <si>
    <t>SPESE BANCARIE</t>
  </si>
  <si>
    <t>COSTI COMMERCIALI</t>
  </si>
  <si>
    <t>RICAVI COMMERCIALI</t>
  </si>
  <si>
    <t>ONERI TRIBUTARI</t>
  </si>
  <si>
    <t>RICAVI PUBBLICITARI</t>
  </si>
  <si>
    <t>I.V.A. L. 398/91 liquidata</t>
  </si>
  <si>
    <t>RICAVI DA PUBBLICITÀ</t>
  </si>
  <si>
    <t>RITENUTE D'ACCONTO VERSATE</t>
  </si>
  <si>
    <t>RICAVI DA SPONSORIZZAZIONE</t>
  </si>
  <si>
    <t>IMPOSTE DIRETTE (IRES E IRAP)</t>
  </si>
  <si>
    <t>MANIFESTAZIONI COMMERCIALI</t>
  </si>
  <si>
    <t>MANIFESTAZIONI E ATT. COMMERCIALI</t>
  </si>
  <si>
    <t>PROVENTI DA VENDITA BIGLIETTI</t>
  </si>
  <si>
    <t>RACCOLTE PUBBLICHE DI FONDI (*)</t>
  </si>
  <si>
    <t>SPESE DI GESTIONE DIVERSE</t>
  </si>
  <si>
    <t>PRESTAZIONE DI SERVIZI A TERZI</t>
  </si>
  <si>
    <t>PROVENTI DA COLLABORAZIONI CON TERZI</t>
  </si>
  <si>
    <t>PROVENTI DA CONVENZIONI CON ENTI</t>
  </si>
  <si>
    <t>I.V.A. L. 398/91 incassata</t>
  </si>
  <si>
    <t>TOTALE COSTI</t>
  </si>
  <si>
    <t>X</t>
  </si>
  <si>
    <t>TOTALE RICAVI</t>
  </si>
  <si>
    <t>Y</t>
  </si>
  <si>
    <t>UTILE D'ESERCIZIO</t>
  </si>
  <si>
    <t>Y-X</t>
  </si>
  <si>
    <t>(PERDITA D'ESERCIZIO)</t>
  </si>
  <si>
    <t>(X-Y)</t>
  </si>
  <si>
    <t>TOALE A PAREGGIO</t>
  </si>
  <si>
    <t>(*) rendiconto e relazione a parte</t>
  </si>
  <si>
    <t>SALDI INIZIALI AL</t>
  </si>
  <si>
    <t>SALDI FINALI AL</t>
  </si>
  <si>
    <t>PIANO DEI CONTI</t>
  </si>
  <si>
    <t>DESCRIZ</t>
  </si>
  <si>
    <t>cod</t>
  </si>
  <si>
    <t>descr</t>
  </si>
  <si>
    <t>APERTURA CASSA</t>
  </si>
  <si>
    <t>APERTURA BANCA</t>
  </si>
  <si>
    <t>TESSERAMENTO</t>
  </si>
  <si>
    <t>UTENZE</t>
  </si>
  <si>
    <t>TELEFONICHE</t>
  </si>
  <si>
    <t>POSTALI</t>
  </si>
  <si>
    <t>PULIZIA</t>
  </si>
  <si>
    <t>CANCELLERIA</t>
  </si>
  <si>
    <t>SITO WEB</t>
  </si>
  <si>
    <t>COMPENSI COLLAB IST</t>
  </si>
  <si>
    <t>RIMBORSI VIAGGIO</t>
  </si>
  <si>
    <t>CONTRIB AD ALTRE ASS</t>
  </si>
  <si>
    <t>IVA liquidata</t>
  </si>
  <si>
    <t>RIT D'ACC VERSATE</t>
  </si>
  <si>
    <t>COMPENSI COLLAB COMM</t>
  </si>
  <si>
    <t>SPESE GESTIONE DIVERSE</t>
  </si>
  <si>
    <t>MATERIALE CONSUMO IST</t>
  </si>
  <si>
    <t>MATERIALE DI CONSUMO COMM</t>
  </si>
  <si>
    <t>RACCOLTE PUBBLICHE - COSTI</t>
  </si>
  <si>
    <t>CONTRIBUTO PROVINCIA</t>
  </si>
  <si>
    <t>CONTRIBUTO COMUNE</t>
  </si>
  <si>
    <t>EROGAZIONI LIBERALI</t>
  </si>
  <si>
    <t>CONTRIB SOCI/PRIVATI</t>
  </si>
  <si>
    <t>QUOTE ATTIVITÀ CULT.</t>
  </si>
  <si>
    <t>QUOTE CORSI</t>
  </si>
  <si>
    <t>RICAVI PUBBLICITÀ</t>
  </si>
  <si>
    <t>RICAVI SPONSORIZZAZIONE</t>
  </si>
  <si>
    <t>RACCOLTE PUBBLICHE - RICAVI</t>
  </si>
  <si>
    <t>PROVENTI COLLAB CON TERZI</t>
  </si>
  <si>
    <t>PROVENTI CONVENZ CON ENTI</t>
  </si>
  <si>
    <t>IVA incassata</t>
  </si>
  <si>
    <t>VERIFICA CASSA</t>
  </si>
  <si>
    <t>ck</t>
  </si>
  <si>
    <t>€ progr</t>
  </si>
  <si>
    <t>BE comm bonif Brusacà</t>
  </si>
  <si>
    <t>I cantastorie</t>
  </si>
  <si>
    <t>contrib laboratori</t>
  </si>
  <si>
    <t>Aggiohouse</t>
  </si>
  <si>
    <t>ARTE E INVENTIVA</t>
  </si>
  <si>
    <t>P</t>
  </si>
  <si>
    <t>FAVOLE</t>
  </si>
  <si>
    <t>PROVENTI VENDITA</t>
  </si>
  <si>
    <t>PAYPAL</t>
  </si>
  <si>
    <t>PP comm vendita favole</t>
  </si>
  <si>
    <t>Paypal</t>
  </si>
  <si>
    <t>Sele &amp; Mark</t>
  </si>
  <si>
    <t>premi concorso</t>
  </si>
  <si>
    <t>Vers r.a. 05/2016 (Brusacà)</t>
  </si>
  <si>
    <t>La piccola Oasi</t>
  </si>
  <si>
    <t>bevande</t>
  </si>
  <si>
    <t>compenso artisti - saldo</t>
  </si>
  <si>
    <t>link</t>
  </si>
  <si>
    <t>Ass La corte dei ratti</t>
  </si>
  <si>
    <t>Vers r.a. 01/2016 (Brusacà)</t>
  </si>
  <si>
    <t>Ass. Passepartout</t>
  </si>
  <si>
    <t>IRES/IRAP 2016 (Brusacà)</t>
  </si>
  <si>
    <t>vendita favole sito 01/2017</t>
  </si>
  <si>
    <t>regime minimi</t>
  </si>
  <si>
    <t>banca/ cassa/ paypal</t>
  </si>
  <si>
    <t>Graffigna</t>
  </si>
  <si>
    <t>FESTA PRIMAVERA</t>
  </si>
  <si>
    <t>LIBRO STORIE MAI RACCONTATE</t>
  </si>
  <si>
    <t>BE comm bonif Graffigna</t>
  </si>
  <si>
    <t>BE comm bonif Ass La corte dei ratti</t>
  </si>
  <si>
    <t>versamento su banca</t>
  </si>
  <si>
    <t>BE canone mensile</t>
  </si>
  <si>
    <t>consulenza fiscale (314,90-49,64 r.a.) (+ra versate)</t>
  </si>
  <si>
    <t>Vers r.a. 02/2017 (Brusacà)</t>
  </si>
  <si>
    <t>compenso artisti (125 - 25 r.a)</t>
  </si>
  <si>
    <t>ra IRES/IRAP versate</t>
  </si>
  <si>
    <t>BERNABO' BREA</t>
  </si>
  <si>
    <t>bonif Brusacà</t>
  </si>
  <si>
    <t>Vers r.a. 12/2016 + ravv.op. (Brusacà)</t>
  </si>
  <si>
    <t>Cartoleria Oregina</t>
  </si>
  <si>
    <t>LANTERNA</t>
  </si>
  <si>
    <t>Poste italiane</t>
  </si>
  <si>
    <t>francobolli</t>
  </si>
  <si>
    <t>pennarelli</t>
  </si>
  <si>
    <t>FAVOLA SU MISURA</t>
  </si>
  <si>
    <t>De Costanzo</t>
  </si>
  <si>
    <t>Tiger Italia</t>
  </si>
  <si>
    <t>AVIS</t>
  </si>
  <si>
    <t>TREKKING URBANO</t>
  </si>
  <si>
    <t>comm su versamento su banca</t>
  </si>
  <si>
    <t>Geroldi</t>
  </si>
  <si>
    <t>Conv. S. Barnaba</t>
  </si>
  <si>
    <t>collaborazione laboratori</t>
  </si>
  <si>
    <t>Panificio Quintano</t>
  </si>
  <si>
    <t>focaccia/pizza</t>
  </si>
  <si>
    <t>vendita favole sito 03/2017</t>
  </si>
  <si>
    <t>vendita favole sito 05/2017</t>
  </si>
  <si>
    <t>vendita favole sito 07/2017</t>
  </si>
  <si>
    <t>Giangiò</t>
  </si>
  <si>
    <t>NS rist</t>
  </si>
  <si>
    <t>NS rist/pedaggi/rimb km</t>
  </si>
  <si>
    <t>compenso collaborazione</t>
  </si>
  <si>
    <t>compenso collaborazione (254.50 - 50.90 r.a.)</t>
  </si>
  <si>
    <t>Vers r.a. 03-06/2017 (Brusacà)</t>
  </si>
  <si>
    <t>contrib favola</t>
  </si>
  <si>
    <t>APERTURA PAYPAL</t>
  </si>
  <si>
    <t>Row Labels</t>
  </si>
  <si>
    <t>(blank)</t>
  </si>
  <si>
    <t>Grand Total</t>
  </si>
  <si>
    <t>27/2016</t>
  </si>
  <si>
    <t>Shenzhenshi (Amazon)</t>
  </si>
  <si>
    <t>Registratore vocale</t>
  </si>
  <si>
    <t>PERASSO</t>
  </si>
  <si>
    <t>cancelleria per laboratorio</t>
  </si>
  <si>
    <t>focaccia</t>
  </si>
  <si>
    <t>compenso collaborazione no doc</t>
  </si>
  <si>
    <t>Favati</t>
  </si>
  <si>
    <t>CARTOPOETICA</t>
  </si>
  <si>
    <t>CANTASTORIATA AL TRAMONTO</t>
  </si>
  <si>
    <t>MIOBIMBO</t>
  </si>
  <si>
    <t>Mip Sas</t>
  </si>
  <si>
    <t>NININFESTIVAL</t>
  </si>
  <si>
    <t>NS rist/pedaggi/pedaggi no doc/parcheggi/rimb km/treno</t>
  </si>
  <si>
    <t>INVENTASTORIE</t>
  </si>
  <si>
    <t>SOTTOCOLLE</t>
  </si>
  <si>
    <t>NS rimb km</t>
  </si>
  <si>
    <t/>
  </si>
  <si>
    <t>TRANSUMANZA</t>
  </si>
  <si>
    <t>RADIO FRA LE NOTE</t>
  </si>
  <si>
    <t>NS rist no doc</t>
  </si>
  <si>
    <t>Iscrizione 6 soci</t>
  </si>
  <si>
    <t>Iscrizione 7 soci</t>
  </si>
  <si>
    <t>Iscrizione 1 socio</t>
  </si>
  <si>
    <t>Asilo S.Quirico</t>
  </si>
  <si>
    <t>Iscrizione 10 soci</t>
  </si>
  <si>
    <t>Iscrizione 15 soci</t>
  </si>
  <si>
    <t>Bam 'Baye</t>
  </si>
  <si>
    <t>Gmg net</t>
  </si>
  <si>
    <t>gestione sito</t>
  </si>
  <si>
    <t>MATERIALE DI CONSUMO IST</t>
  </si>
  <si>
    <t>COMPENSI COLLABORATORI IST</t>
  </si>
  <si>
    <t>COMPENSI COLLABORATORI COMM</t>
  </si>
  <si>
    <t>NS treno</t>
  </si>
  <si>
    <t>CONTRIBUTI AD ALTRE ASSOCIAZIONI</t>
  </si>
  <si>
    <t>contrib ass</t>
  </si>
  <si>
    <t>IRES/IRAP 2015 (Brusacà)</t>
  </si>
  <si>
    <t>consulenza fiscale 2016/2017 (273-40 r.a.)</t>
  </si>
  <si>
    <t>cassa prof</t>
  </si>
  <si>
    <t>% IVA</t>
  </si>
  <si>
    <t>Italia holding</t>
  </si>
  <si>
    <t>contanti? Ricevuta?</t>
  </si>
  <si>
    <t>Ricevuta?</t>
  </si>
  <si>
    <t>BE comm bonif Italia holding</t>
  </si>
  <si>
    <t>laboratorio calligrafia (Webdada)</t>
  </si>
  <si>
    <t>fare NS</t>
  </si>
  <si>
    <t>ft?</t>
  </si>
  <si>
    <t>vendita Intellighiotta</t>
  </si>
  <si>
    <t>Miobimbo</t>
  </si>
  <si>
    <t>Vers r.a brusacà 11/2017</t>
  </si>
  <si>
    <t>BE comm bonif Gmg net</t>
  </si>
  <si>
    <t>Cons. logistica pacchi</t>
  </si>
  <si>
    <t>spedizione Intellighiotta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</si>
</sst>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-* #,##0_-;\-* #,##0_-;_-* &quot;-&quot;??_-;_-@_-"/>
    <numFmt numFmtId="167" formatCode="###0;###0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59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65" fontId="1" fillId="0" borderId="0" xfId="0" applyNumberFormat="1" applyFont="1" applyAlignment="1">
      <alignment horizontal="center" vertical="center" wrapText="1"/>
    </xf>
    <xf numFmtId="165" fontId="0" fillId="2" borderId="0" xfId="0" applyNumberFormat="1" applyFill="1"/>
    <xf numFmtId="165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165" fontId="0" fillId="0" borderId="1" xfId="0" applyNumberFormat="1" applyBorder="1"/>
    <xf numFmtId="165" fontId="0" fillId="0" borderId="2" xfId="0" applyNumberFormat="1" applyBorder="1"/>
    <xf numFmtId="165" fontId="0" fillId="0" borderId="0" xfId="0" applyNumberFormat="1" applyFill="1"/>
    <xf numFmtId="165" fontId="0" fillId="0" borderId="3" xfId="0" applyNumberFormat="1" applyBorder="1"/>
    <xf numFmtId="14" fontId="0" fillId="0" borderId="0" xfId="0" applyNumberFormat="1" applyFill="1"/>
    <xf numFmtId="165" fontId="1" fillId="0" borderId="0" xfId="1" applyNumberFormat="1" applyFont="1" applyAlignment="1">
      <alignment horizontal="center" vertical="center" wrapText="1"/>
    </xf>
    <xf numFmtId="165" fontId="0" fillId="0" borderId="0" xfId="1" applyNumberFormat="1" applyFont="1"/>
    <xf numFmtId="165" fontId="0" fillId="0" borderId="0" xfId="1" applyNumberFormat="1" applyFont="1" applyFill="1"/>
    <xf numFmtId="0" fontId="1" fillId="0" borderId="0" xfId="0" applyFont="1"/>
    <xf numFmtId="165" fontId="1" fillId="0" borderId="0" xfId="0" applyNumberFormat="1" applyFont="1"/>
    <xf numFmtId="165" fontId="1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165" fontId="0" fillId="0" borderId="0" xfId="2" applyFont="1"/>
    <xf numFmtId="166" fontId="0" fillId="0" borderId="0" xfId="0" applyNumberFormat="1"/>
    <xf numFmtId="1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0" fillId="0" borderId="0" xfId="0" applyNumberFormat="1" applyBorder="1"/>
    <xf numFmtId="165" fontId="1" fillId="0" borderId="0" xfId="2" applyFont="1"/>
    <xf numFmtId="0" fontId="0" fillId="0" borderId="0" xfId="0" applyFill="1" applyAlignment="1"/>
    <xf numFmtId="0" fontId="0" fillId="0" borderId="0" xfId="0" applyAlignment="1"/>
    <xf numFmtId="0" fontId="1" fillId="0" borderId="0" xfId="0" applyFont="1" applyAlignment="1"/>
    <xf numFmtId="4" fontId="0" fillId="0" borderId="0" xfId="0" applyNumberFormat="1"/>
    <xf numFmtId="4" fontId="0" fillId="0" borderId="0" xfId="0" applyNumberFormat="1" applyFill="1"/>
    <xf numFmtId="0" fontId="0" fillId="0" borderId="0" xfId="0" pivotButton="1" applyAlignment="1">
      <alignment horizontal="center"/>
    </xf>
    <xf numFmtId="165" fontId="4" fillId="0" borderId="0" xfId="0" applyNumberFormat="1" applyFont="1" applyFill="1"/>
    <xf numFmtId="14" fontId="0" fillId="0" borderId="0" xfId="0" applyNumberFormat="1" applyBorder="1"/>
    <xf numFmtId="165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165" fontId="0" fillId="0" borderId="0" xfId="1" applyNumberFormat="1" applyFont="1" applyBorder="1"/>
    <xf numFmtId="0" fontId="0" fillId="0" borderId="0" xfId="0" applyFill="1" applyBorder="1" applyAlignment="1"/>
    <xf numFmtId="14" fontId="0" fillId="0" borderId="0" xfId="0" applyNumberForma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165" fontId="5" fillId="0" borderId="0" xfId="2" applyFont="1" applyFill="1" applyBorder="1" applyAlignment="1">
      <alignment horizontal="left" vertical="top"/>
    </xf>
    <xf numFmtId="0" fontId="6" fillId="0" borderId="0" xfId="0" applyFont="1"/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165" fontId="7" fillId="0" borderId="0" xfId="2" applyFont="1" applyFill="1" applyBorder="1" applyAlignment="1">
      <alignment horizontal="left" vertical="top"/>
    </xf>
    <xf numFmtId="0" fontId="0" fillId="0" borderId="0" xfId="0" applyFont="1"/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1" fontId="8" fillId="0" borderId="0" xfId="2" applyNumberFormat="1" applyFont="1" applyFill="1" applyBorder="1" applyAlignment="1">
      <alignment vertical="top" wrapText="1"/>
    </xf>
    <xf numFmtId="165" fontId="8" fillId="0" borderId="0" xfId="2" applyFont="1" applyFill="1" applyBorder="1" applyAlignment="1">
      <alignment vertical="top" wrapText="1"/>
    </xf>
    <xf numFmtId="0" fontId="1" fillId="0" borderId="0" xfId="0" applyFont="1" applyBorder="1"/>
    <xf numFmtId="0" fontId="4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165" fontId="9" fillId="0" borderId="0" xfId="2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165" fontId="11" fillId="0" borderId="0" xfId="2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center" vertical="top" wrapText="1"/>
    </xf>
    <xf numFmtId="165" fontId="12" fillId="0" borderId="4" xfId="2" applyFont="1" applyFill="1" applyBorder="1" applyAlignment="1">
      <alignment horizontal="left" vertical="top" wrapText="1"/>
    </xf>
    <xf numFmtId="165" fontId="12" fillId="0" borderId="4" xfId="2" applyFont="1" applyFill="1" applyBorder="1" applyAlignment="1">
      <alignment vertical="top" wrapText="1"/>
    </xf>
    <xf numFmtId="0" fontId="13" fillId="0" borderId="4" xfId="0" applyFont="1" applyFill="1" applyBorder="1" applyAlignment="1">
      <alignment horizontal="center" vertical="top" wrapText="1"/>
    </xf>
    <xf numFmtId="165" fontId="13" fillId="0" borderId="4" xfId="2" applyFont="1" applyFill="1" applyBorder="1" applyAlignment="1">
      <alignment horizontal="left" vertical="top" wrapText="1"/>
    </xf>
    <xf numFmtId="165" fontId="13" fillId="0" borderId="4" xfId="2" applyFont="1" applyFill="1" applyBorder="1" applyAlignment="1">
      <alignment vertical="top" wrapText="1"/>
    </xf>
    <xf numFmtId="165" fontId="9" fillId="0" borderId="4" xfId="2" applyFont="1" applyFill="1" applyBorder="1" applyAlignment="1">
      <alignment horizontal="left" vertical="top" wrapText="1"/>
    </xf>
    <xf numFmtId="165" fontId="9" fillId="0" borderId="4" xfId="2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center" vertical="top"/>
    </xf>
    <xf numFmtId="165" fontId="9" fillId="0" borderId="4" xfId="2" applyFont="1" applyFill="1" applyBorder="1" applyAlignment="1">
      <alignment horizontal="left" vertical="top"/>
    </xf>
    <xf numFmtId="0" fontId="9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165" fontId="11" fillId="0" borderId="4" xfId="2" applyFont="1" applyFill="1" applyBorder="1" applyAlignment="1">
      <alignment horizontal="left" vertical="top" wrapText="1"/>
    </xf>
    <xf numFmtId="165" fontId="11" fillId="0" borderId="4" xfId="2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 wrapText="1"/>
    </xf>
    <xf numFmtId="165" fontId="11" fillId="0" borderId="0" xfId="2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165" fontId="4" fillId="0" borderId="0" xfId="2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165" fontId="7" fillId="0" borderId="3" xfId="2" applyFont="1" applyFill="1" applyBorder="1" applyAlignment="1">
      <alignment horizontal="left" vertical="top"/>
    </xf>
    <xf numFmtId="0" fontId="0" fillId="0" borderId="4" xfId="0" applyBorder="1"/>
    <xf numFmtId="0" fontId="3" fillId="0" borderId="0" xfId="0" applyFont="1" applyBorder="1"/>
    <xf numFmtId="167" fontId="9" fillId="0" borderId="4" xfId="0" applyNumberFormat="1" applyFont="1" applyFill="1" applyBorder="1" applyAlignment="1">
      <alignment horizontal="center" vertical="top" wrapText="1"/>
    </xf>
    <xf numFmtId="14" fontId="3" fillId="0" borderId="0" xfId="0" applyNumberFormat="1" applyFont="1"/>
    <xf numFmtId="165" fontId="3" fillId="0" borderId="0" xfId="0" applyNumberFormat="1" applyFont="1"/>
    <xf numFmtId="14" fontId="0" fillId="2" borderId="0" xfId="0" applyNumberFormat="1" applyFill="1" applyBorder="1"/>
    <xf numFmtId="0" fontId="0" fillId="2" borderId="0" xfId="0" applyFill="1" applyBorder="1"/>
    <xf numFmtId="165" fontId="4" fillId="0" borderId="0" xfId="0" applyNumberFormat="1" applyFont="1" applyFill="1" applyBorder="1"/>
    <xf numFmtId="14" fontId="4" fillId="0" borderId="0" xfId="0" applyNumberFormat="1" applyFont="1" applyFill="1" applyBorder="1"/>
    <xf numFmtId="165" fontId="0" fillId="0" borderId="2" xfId="0" applyNumberFormat="1" applyFill="1" applyBorder="1"/>
    <xf numFmtId="165" fontId="1" fillId="0" borderId="0" xfId="0" applyNumberFormat="1" applyFont="1" applyBorder="1"/>
    <xf numFmtId="0" fontId="0" fillId="5" borderId="0" xfId="0" applyFill="1"/>
    <xf numFmtId="165" fontId="0" fillId="2" borderId="0" xfId="0" applyNumberFormat="1" applyFill="1" applyBorder="1"/>
    <xf numFmtId="0" fontId="0" fillId="0" borderId="0" xfId="0" quotePrefix="1"/>
    <xf numFmtId="14" fontId="1" fillId="0" borderId="4" xfId="0" applyNumberFormat="1" applyFont="1" applyBorder="1" applyAlignment="1">
      <alignment horizontal="center" vertical="center"/>
    </xf>
    <xf numFmtId="165" fontId="1" fillId="0" borderId="4" xfId="2" applyFont="1" applyBorder="1" applyAlignment="1">
      <alignment horizontal="center" vertical="center"/>
    </xf>
    <xf numFmtId="0" fontId="0" fillId="0" borderId="7" xfId="0" applyBorder="1"/>
    <xf numFmtId="165" fontId="0" fillId="0" borderId="7" xfId="2" applyFont="1" applyBorder="1"/>
    <xf numFmtId="14" fontId="0" fillId="0" borderId="7" xfId="0" applyNumberFormat="1" applyBorder="1"/>
    <xf numFmtId="0" fontId="0" fillId="0" borderId="8" xfId="0" applyBorder="1"/>
    <xf numFmtId="165" fontId="0" fillId="0" borderId="8" xfId="2" applyFont="1" applyBorder="1"/>
    <xf numFmtId="14" fontId="0" fillId="0" borderId="8" xfId="0" applyNumberFormat="1" applyBorder="1"/>
    <xf numFmtId="165" fontId="0" fillId="0" borderId="0" xfId="1" applyNumberFormat="1" applyFont="1" applyFill="1" applyBorder="1"/>
    <xf numFmtId="0" fontId="15" fillId="3" borderId="4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167" fontId="11" fillId="0" borderId="4" xfId="0" applyNumberFormat="1" applyFont="1" applyFill="1" applyBorder="1" applyAlignment="1">
      <alignment horizontal="center" vertical="top" wrapText="1"/>
    </xf>
    <xf numFmtId="165" fontId="15" fillId="0" borderId="4" xfId="2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vertical="top" wrapText="1"/>
    </xf>
    <xf numFmtId="165" fontId="14" fillId="0" borderId="4" xfId="2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165" fontId="15" fillId="0" borderId="0" xfId="2" applyFont="1" applyFill="1" applyBorder="1" applyAlignment="1">
      <alignment horizontal="left" vertical="top" wrapText="1"/>
    </xf>
    <xf numFmtId="0" fontId="16" fillId="0" borderId="4" xfId="0" applyFont="1" applyBorder="1"/>
    <xf numFmtId="0" fontId="15" fillId="0" borderId="4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0" fontId="17" fillId="0" borderId="7" xfId="0" applyFont="1" applyBorder="1"/>
    <xf numFmtId="0" fontId="15" fillId="0" borderId="6" xfId="0" applyFont="1" applyFill="1" applyBorder="1" applyAlignment="1">
      <alignment horizontal="left" vertical="top" wrapText="1"/>
    </xf>
    <xf numFmtId="167" fontId="11" fillId="0" borderId="6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/>
    </xf>
    <xf numFmtId="0" fontId="17" fillId="0" borderId="8" xfId="0" applyFont="1" applyBorder="1"/>
    <xf numFmtId="0" fontId="15" fillId="0" borderId="6" xfId="0" applyFont="1" applyFill="1" applyBorder="1" applyAlignment="1">
      <alignment vertical="top" wrapText="1"/>
    </xf>
    <xf numFmtId="0" fontId="15" fillId="4" borderId="6" xfId="0" applyFont="1" applyFill="1" applyBorder="1" applyAlignment="1">
      <alignment vertical="top" wrapText="1"/>
    </xf>
    <xf numFmtId="0" fontId="17" fillId="0" borderId="9" xfId="0" applyFont="1" applyBorder="1"/>
    <xf numFmtId="0" fontId="15" fillId="0" borderId="2" xfId="0" applyFont="1" applyFill="1" applyBorder="1" applyAlignment="1">
      <alignment vertical="top" wrapText="1"/>
    </xf>
    <xf numFmtId="167" fontId="11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vertical="top" wrapText="1"/>
    </xf>
    <xf numFmtId="167" fontId="9" fillId="0" borderId="5" xfId="0" applyNumberFormat="1" applyFont="1" applyFill="1" applyBorder="1" applyAlignment="1">
      <alignment horizontal="center" vertical="top" wrapText="1"/>
    </xf>
    <xf numFmtId="0" fontId="17" fillId="0" borderId="4" xfId="0" applyFont="1" applyBorder="1"/>
    <xf numFmtId="0" fontId="17" fillId="0" borderId="0" xfId="0" applyFont="1" applyBorder="1"/>
    <xf numFmtId="0" fontId="17" fillId="0" borderId="0" xfId="0" applyFont="1"/>
    <xf numFmtId="0" fontId="18" fillId="0" borderId="0" xfId="0" applyFont="1" applyFill="1" applyBorder="1" applyAlignment="1">
      <alignment horizontal="center" vertical="top"/>
    </xf>
    <xf numFmtId="14" fontId="18" fillId="0" borderId="0" xfId="0" applyNumberFormat="1" applyFont="1" applyFill="1" applyBorder="1" applyAlignment="1">
      <alignment horizontal="center" vertical="top"/>
    </xf>
    <xf numFmtId="165" fontId="18" fillId="0" borderId="0" xfId="2" applyFont="1" applyFill="1" applyBorder="1" applyAlignment="1">
      <alignment horizontal="left" vertical="top"/>
    </xf>
    <xf numFmtId="165" fontId="10" fillId="0" borderId="0" xfId="2" applyFont="1" applyFill="1" applyBorder="1" applyAlignment="1">
      <alignment vertical="top" wrapText="1"/>
    </xf>
    <xf numFmtId="0" fontId="0" fillId="2" borderId="0" xfId="0" applyFill="1" applyBorder="1" applyAlignment="1"/>
    <xf numFmtId="43" fontId="0" fillId="0" borderId="0" xfId="0" applyNumberFormat="1"/>
    <xf numFmtId="168" fontId="0" fillId="0" borderId="0" xfId="0" applyNumberFormat="1"/>
    <xf numFmtId="14" fontId="1" fillId="0" borderId="0" xfId="1" applyNumberFormat="1" applyFont="1" applyFill="1"/>
    <xf numFmtId="165" fontId="0" fillId="0" borderId="3" xfId="1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33">
    <dxf>
      <fill>
        <patternFill>
          <bgColor auto="1"/>
        </patternFill>
      </fill>
    </dxf>
    <dxf>
      <fill>
        <patternFill>
          <bgColor auto="1"/>
        </patternFill>
      </fill>
    </dxf>
    <dxf>
      <alignment horizontal="center" readingOrder="0"/>
    </dxf>
    <dxf>
      <alignment horizontal="center" readingOrder="0"/>
    </dxf>
    <dxf>
      <numFmt numFmtId="4" formatCode="#,##0.00"/>
    </dxf>
    <dxf>
      <numFmt numFmtId="4" formatCode="#,##0.00"/>
    </dxf>
    <dxf>
      <numFmt numFmtId="165" formatCode="_(* #,##0.00_);_(* \(#,##0.00\);_(* &quot;-&quot;??_);_(@_)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5" formatCode="_(* #,##0.00_);_(* \(#,##0.00\);_(* &quot;-&quot;??_);_(@_)"/>
    </dxf>
    <dxf>
      <numFmt numFmtId="4" formatCode="#,##0.00"/>
    </dxf>
    <dxf>
      <numFmt numFmtId="4" formatCode="#,##0.00"/>
    </dxf>
    <dxf>
      <alignment horizontal="center" readingOrder="0"/>
    </dxf>
    <dxf>
      <alignment horizontal="center" readingOrder="0"/>
    </dxf>
    <dxf>
      <fill>
        <patternFill>
          <bgColor auto="1"/>
        </patternFill>
      </fill>
    </dxf>
    <dxf>
      <fill>
        <patternFill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abilit&#224;%20BdF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Pivot"/>
      <sheetName val="Iva"/>
      <sheetName val="R.a."/>
      <sheetName val="Rend"/>
      <sheetName val="Piano conti"/>
      <sheetName val="Cassa"/>
    </sheetNames>
    <sheetDataSet>
      <sheetData sheetId="0">
        <row r="192">
          <cell r="B192">
            <v>1123.79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3">
          <cell r="D3" t="str">
            <v>DESCRIZ</v>
          </cell>
          <cell r="E3" t="str">
            <v>CODICE</v>
          </cell>
        </row>
        <row r="4">
          <cell r="D4" t="str">
            <v>TESSERAMENTO</v>
          </cell>
          <cell r="E4">
            <v>1000</v>
          </cell>
        </row>
        <row r="5">
          <cell r="D5" t="str">
            <v>COSTI SEDE</v>
          </cell>
          <cell r="E5">
            <v>1100</v>
          </cell>
        </row>
        <row r="6">
          <cell r="D6" t="str">
            <v>TELEFONICHE</v>
          </cell>
          <cell r="E6">
            <v>1201</v>
          </cell>
        </row>
        <row r="7">
          <cell r="D7" t="str">
            <v>POSTALI</v>
          </cell>
          <cell r="E7">
            <v>1202</v>
          </cell>
        </row>
        <row r="8">
          <cell r="D8" t="str">
            <v>UTENZE</v>
          </cell>
          <cell r="E8">
            <v>1203</v>
          </cell>
        </row>
        <row r="9">
          <cell r="D9" t="str">
            <v>PULIZIA</v>
          </cell>
          <cell r="E9">
            <v>1204</v>
          </cell>
        </row>
        <row r="10">
          <cell r="D10" t="str">
            <v>CANCELLERIA</v>
          </cell>
          <cell r="E10">
            <v>1205</v>
          </cell>
        </row>
        <row r="11">
          <cell r="D11" t="str">
            <v>PROFESSIONISTI</v>
          </cell>
          <cell r="E11">
            <v>1206</v>
          </cell>
        </row>
        <row r="12">
          <cell r="D12" t="str">
            <v>SITO WEB</v>
          </cell>
          <cell r="E12">
            <v>1207</v>
          </cell>
        </row>
        <row r="13">
          <cell r="D13" t="str">
            <v>ALTRI COSTI GENERALI</v>
          </cell>
          <cell r="E13">
            <v>1208</v>
          </cell>
        </row>
        <row r="14">
          <cell r="D14" t="str">
            <v>COMPENSI COLLAB IST</v>
          </cell>
          <cell r="E14">
            <v>1301</v>
          </cell>
        </row>
        <row r="15">
          <cell r="D15" t="str">
            <v>RIMBORSI VIAGGIO</v>
          </cell>
          <cell r="E15">
            <v>1302</v>
          </cell>
        </row>
        <row r="16">
          <cell r="D16" t="str">
            <v>MATERIALE CONSUMO IST</v>
          </cell>
          <cell r="E16">
            <v>1303</v>
          </cell>
        </row>
        <row r="17">
          <cell r="D17" t="str">
            <v>CONTRIB AD ALTRE ASS</v>
          </cell>
          <cell r="E17">
            <v>1304</v>
          </cell>
        </row>
        <row r="18">
          <cell r="D18" t="str">
            <v>SPESE BANCARIE</v>
          </cell>
          <cell r="E18">
            <v>1401</v>
          </cell>
        </row>
        <row r="19">
          <cell r="D19" t="str">
            <v>IVA liquidata</v>
          </cell>
          <cell r="E19">
            <v>1501</v>
          </cell>
        </row>
        <row r="20">
          <cell r="D20" t="str">
            <v>RIT D'ACC VERSATE</v>
          </cell>
          <cell r="E20">
            <v>1502</v>
          </cell>
        </row>
        <row r="21">
          <cell r="D21" t="str">
            <v>IMPOSTE DIRETTE (IRES E IRAP)</v>
          </cell>
          <cell r="E21">
            <v>1503</v>
          </cell>
        </row>
        <row r="22">
          <cell r="D22" t="str">
            <v>COMPENSI COLLAB COMM</v>
          </cell>
          <cell r="E22">
            <v>1601</v>
          </cell>
        </row>
        <row r="23">
          <cell r="D23" t="str">
            <v>SPESE GESTIONE DIVERSE</v>
          </cell>
          <cell r="E23">
            <v>1602</v>
          </cell>
        </row>
        <row r="24">
          <cell r="D24" t="str">
            <v>MATERIALE DI CONSUMO COMM</v>
          </cell>
          <cell r="E24">
            <v>1603</v>
          </cell>
        </row>
        <row r="25">
          <cell r="D25" t="str">
            <v>RACCOLTE PUBBLICHE - COSTI</v>
          </cell>
          <cell r="E25">
            <v>1700</v>
          </cell>
        </row>
        <row r="27">
          <cell r="D27" t="str">
            <v>QUOTE SOCIALI</v>
          </cell>
          <cell r="E27">
            <v>2000</v>
          </cell>
        </row>
        <row r="28">
          <cell r="D28" t="str">
            <v>CONTRIBUTO PROVINCIA</v>
          </cell>
          <cell r="E28">
            <v>2101</v>
          </cell>
        </row>
        <row r="29">
          <cell r="D29" t="str">
            <v>CONTRIBUTO COMUNE</v>
          </cell>
          <cell r="E29">
            <v>2102</v>
          </cell>
        </row>
        <row r="30">
          <cell r="D30" t="str">
            <v>EROGAZIONI LIBERALI</v>
          </cell>
          <cell r="E30">
            <v>2201</v>
          </cell>
        </row>
        <row r="31">
          <cell r="D31" t="str">
            <v>CONTRIB SOCI/PRIVATI</v>
          </cell>
          <cell r="E31">
            <v>2202</v>
          </cell>
        </row>
        <row r="32">
          <cell r="D32" t="str">
            <v>QUOTE ATTIVITÀ CULT.</v>
          </cell>
          <cell r="E32">
            <v>2301</v>
          </cell>
        </row>
        <row r="33">
          <cell r="D33" t="str">
            <v>QUOTE CORSI</v>
          </cell>
          <cell r="E33">
            <v>2302</v>
          </cell>
        </row>
        <row r="34">
          <cell r="D34" t="str">
            <v>INTERESSI ATTIVI</v>
          </cell>
          <cell r="E34">
            <v>2401</v>
          </cell>
        </row>
        <row r="35">
          <cell r="D35" t="str">
            <v>RICAVI PUBBLICITÀ</v>
          </cell>
          <cell r="E35">
            <v>2501</v>
          </cell>
        </row>
        <row r="36">
          <cell r="D36" t="str">
            <v>RICAVI SPONSORIZZAZIONE</v>
          </cell>
          <cell r="E36">
            <v>2502</v>
          </cell>
        </row>
        <row r="37">
          <cell r="D37" t="str">
            <v>PROVENTI VENDITA</v>
          </cell>
          <cell r="E37">
            <v>2601</v>
          </cell>
        </row>
        <row r="38">
          <cell r="D38" t="str">
            <v>RACCOLTE PUBBLICHE - RICAVI</v>
          </cell>
          <cell r="E38">
            <v>2602</v>
          </cell>
        </row>
        <row r="39">
          <cell r="D39" t="str">
            <v>PROVENTI COLLAB CON TERZI</v>
          </cell>
          <cell r="E39">
            <v>2701</v>
          </cell>
        </row>
        <row r="40">
          <cell r="D40" t="str">
            <v>PROVENTI CONVENZ CON ENTI</v>
          </cell>
          <cell r="E40">
            <v>2702</v>
          </cell>
        </row>
        <row r="41">
          <cell r="D41" t="str">
            <v>IVA incassata</v>
          </cell>
          <cell r="E41">
            <v>2800</v>
          </cell>
        </row>
        <row r="43">
          <cell r="D43" t="str">
            <v>APERTURA CASSA</v>
          </cell>
          <cell r="E43">
            <v>3001</v>
          </cell>
        </row>
        <row r="44">
          <cell r="D44" t="str">
            <v>APERTURA BANCA</v>
          </cell>
          <cell r="E44">
            <v>3002</v>
          </cell>
        </row>
        <row r="45">
          <cell r="D45" t="str">
            <v>APERTURA PAYPAL</v>
          </cell>
          <cell r="E45">
            <v>3003</v>
          </cell>
        </row>
      </sheetData>
      <sheetData sheetId="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ucciardi, Ernesto" refreshedDate="43339.458050347224" createdVersion="3" refreshedVersion="5" minRefreshableVersion="3" recordCount="96">
  <cacheSource type="worksheet">
    <worksheetSource ref="A1:M97" sheet="Cont"/>
  </cacheSource>
  <cacheFields count="13">
    <cacheField name="Data" numFmtId="14">
      <sharedItems containsNonDate="0" containsDate="1" containsString="0" containsBlank="1" minDate="2017-01-01T00:00:00" maxDate="2018-01-01T00:00:00"/>
    </cacheField>
    <cacheField name="€" numFmtId="165">
      <sharedItems containsString="0" containsBlank="1" containsNumber="1" minValue="-1300" maxValue="1300"/>
    </cacheField>
    <cacheField name="virtual" numFmtId="165">
      <sharedItems containsNonDate="0" containsString="0" containsBlank="1"/>
    </cacheField>
    <cacheField name="E" numFmtId="165">
      <sharedItems containsSemiMixedTypes="0" containsString="0" containsNumber="1" minValue="0" maxValue="1300"/>
    </cacheField>
    <cacheField name="U" numFmtId="165">
      <sharedItems containsSemiMixedTypes="0" containsString="0" containsNumber="1" minValue="-1300" maxValue="0"/>
    </cacheField>
    <cacheField name="banca/ cassa/ paypal" numFmtId="0">
      <sharedItems containsBlank="1"/>
    </cacheField>
    <cacheField name="evento" numFmtId="0">
      <sharedItems containsBlank="1" count="38">
        <s v="GENERALE"/>
        <s v="PERASSO"/>
        <s v="FAVOLE"/>
        <s v="LIBRO STORIE MAI RACCONTATE"/>
        <s v="FESTA PRIMAVERA"/>
        <m/>
        <s v="INVENTASTORIE"/>
        <s v="SOTTOCOLLE"/>
        <s v="AVIS"/>
        <s v="INCANTASTORIE 2016"/>
        <s v="LANTERNA"/>
        <s v="FAVOLA SU MISURA"/>
        <s v="TREKKING URBANO"/>
        <s v="CARTOPOETICA"/>
        <s v="CANTASTORIATA AL TRAMONTO"/>
        <s v="NININFESTIVAL"/>
        <s v="ARTE E INVENTIVA"/>
        <s v="MIOBIMBO"/>
        <s v="TRANSUMANZA"/>
        <s v="RADIO FRA LE NOTE"/>
        <s v="IOBIMBO" u="1"/>
        <s v="FATTORIA GRANAROLO" u="1"/>
        <s v="RECCO PICCETTI" u="1"/>
        <s v="cafe barbarossa 19/11" u="1"/>
        <s v="VINTAGE" u="1"/>
        <s v="ARTE E NATURA" u="1"/>
        <s v="mentelocale 25/11" u="1"/>
        <s v="PUNTA S. CHIARA" u="1"/>
        <s v="FAVOLE NEL BOSCO" u="1"/>
        <s v="SOTTO COLLE" u="1"/>
        <s v="BERNABO' BREA" u="1"/>
        <s v="NATALE IDEA" u="1"/>
        <s v="INFANZIA IN FANTASIA" u="1"/>
        <s v="CARTAPOETI" u="1"/>
        <s v="SAN BARNABA" u="1"/>
        <s v="CARTIERA ACQUITERME" u="1"/>
        <s v="FESTIVAL FRECCIA" u="1"/>
        <s v="ERG" u="1"/>
      </sharedItems>
    </cacheField>
    <cacheField name="fornitore/cliente" numFmtId="0">
      <sharedItems containsBlank="1"/>
    </cacheField>
    <cacheField name="descrizione" numFmtId="0">
      <sharedItems containsBlank="1"/>
    </cacheField>
    <cacheField name="descr" numFmtId="0">
      <sharedItems containsBlank="1"/>
    </cacheField>
    <cacheField name="cod" numFmtId="0">
      <sharedItems containsMixedTypes="1" containsNumber="1" containsInteger="1" minValue="1202" maxValue="3003"/>
    </cacheField>
    <cacheField name="link" numFmtId="0">
      <sharedItems containsBlank="1" containsMixedTypes="1" containsNumber="1" containsInteger="1" minValue="1" maxValue="22"/>
    </cacheField>
    <cacheField name="commen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">
  <r>
    <d v="2017-01-01T00:00:00"/>
    <n v="1123.79"/>
    <m/>
    <n v="1123.79"/>
    <n v="0"/>
    <s v="C"/>
    <x v="0"/>
    <m/>
    <s v="apertura 2016"/>
    <s v="APERTURA CASSA"/>
    <n v="3001"/>
    <m/>
    <m/>
  </r>
  <r>
    <d v="2017-01-01T00:00:00"/>
    <n v="969.23999999999978"/>
    <m/>
    <n v="969.23999999999978"/>
    <n v="0"/>
    <s v="B"/>
    <x v="0"/>
    <m/>
    <s v="apertura 2016"/>
    <s v="APERTURA BANCA"/>
    <n v="3002"/>
    <m/>
    <m/>
  </r>
  <r>
    <d v="2017-01-01T00:00:00"/>
    <n v="550.36"/>
    <m/>
    <n v="550.36"/>
    <n v="0"/>
    <s v="P"/>
    <x v="0"/>
    <m/>
    <s v="apertura 2016"/>
    <s v="APERTURA PAYPAL"/>
    <n v="3003"/>
    <m/>
    <m/>
  </r>
  <r>
    <d v="2017-01-11T00:00:00"/>
    <m/>
    <m/>
    <n v="0"/>
    <n v="0"/>
    <s v="B"/>
    <x v="0"/>
    <s v="Brusacà"/>
    <s v="ra IRES/IRAP versate"/>
    <s v="PROFESSIONISTI"/>
    <n v="1206"/>
    <n v="1"/>
    <m/>
  </r>
  <r>
    <d v="2017-01-11T00:00:00"/>
    <n v="-1"/>
    <m/>
    <n v="0"/>
    <n v="-1"/>
    <s v="B"/>
    <x v="0"/>
    <s v="Banca Etica"/>
    <s v="BE comm bonif Brusacà"/>
    <s v="SPESE BANCARIE"/>
    <n v="1401"/>
    <n v="1"/>
    <m/>
  </r>
  <r>
    <d v="2017-01-11T00:00:00"/>
    <n v="-60"/>
    <m/>
    <n v="0"/>
    <n v="-60"/>
    <s v="B"/>
    <x v="0"/>
    <s v="Erario"/>
    <s v="Vers r.a. 05/2016 (Brusacà)"/>
    <s v="RIT D'ACC VERSATE"/>
    <n v="1502"/>
    <n v="1"/>
    <m/>
  </r>
  <r>
    <d v="2017-01-11T00:00:00"/>
    <n v="-20"/>
    <m/>
    <n v="0"/>
    <n v="-20"/>
    <s v="B"/>
    <x v="0"/>
    <s v="Erario"/>
    <s v="Vers r.a. 01/2016 (Brusacà)"/>
    <s v="RIT D'ACC VERSATE"/>
    <n v="1502"/>
    <n v="1"/>
    <m/>
  </r>
  <r>
    <d v="2017-01-11T00:00:00"/>
    <n v="-234.73"/>
    <m/>
    <n v="0"/>
    <n v="-234.73"/>
    <s v="B"/>
    <x v="0"/>
    <s v="Erario"/>
    <s v="IRES/IRAP 2015 (Brusacà)"/>
    <s v="IMPOSTE DIRETTE (IRES E IRAP)"/>
    <n v="1503"/>
    <n v="1"/>
    <m/>
  </r>
  <r>
    <d v="2017-01-12T00:00:00"/>
    <n v="-10.68"/>
    <m/>
    <n v="0"/>
    <n v="-10.68"/>
    <s v="C"/>
    <x v="1"/>
    <s v="Sele &amp; Mark"/>
    <s v="pennarelli"/>
    <s v="MATERIALE CONSUMO IST"/>
    <n v="1303"/>
    <m/>
    <m/>
  </r>
  <r>
    <d v="2017-01-17T00:00:00"/>
    <n v="150"/>
    <m/>
    <n v="150"/>
    <n v="0"/>
    <s v="C"/>
    <x v="1"/>
    <s v="PERASSO"/>
    <s v="contrib laboratori"/>
    <s v="QUOTE ATTIVITÀ CULT."/>
    <n v="2301"/>
    <m/>
    <m/>
  </r>
  <r>
    <d v="2017-01-31T00:00:00"/>
    <n v="-1"/>
    <m/>
    <n v="0"/>
    <n v="-1"/>
    <s v="B"/>
    <x v="0"/>
    <s v="Banca Etica"/>
    <s v="BE canone mensile"/>
    <s v="SPESE BANCARIE"/>
    <n v="1401"/>
    <m/>
    <m/>
  </r>
  <r>
    <d v="2017-01-31T00:00:00"/>
    <n v="-0.49"/>
    <m/>
    <n v="0"/>
    <n v="-0.49"/>
    <s v="P"/>
    <x v="2"/>
    <s v="PAYPAL"/>
    <s v="PP comm vendita favole"/>
    <s v="SPESE GESTIONE DIVERSE"/>
    <n v="1602"/>
    <n v="2"/>
    <m/>
  </r>
  <r>
    <d v="2017-01-31T00:00:00"/>
    <n v="4"/>
    <m/>
    <n v="4"/>
    <n v="0"/>
    <s v="P"/>
    <x v="2"/>
    <s v="Utenti"/>
    <s v="vendita favole sito 01/2017"/>
    <s v="PROVENTI VENDITA"/>
    <n v="2601"/>
    <n v="2"/>
    <m/>
  </r>
  <r>
    <d v="2017-02-04T00:00:00"/>
    <n v="-3.5"/>
    <m/>
    <n v="0"/>
    <n v="-3.5"/>
    <s v="C"/>
    <x v="3"/>
    <s v="Cartoleria Oregina"/>
    <s v="cancelleria per laboratorio"/>
    <s v="MATERIALE CONSUMO IST"/>
    <n v="1303"/>
    <m/>
    <m/>
  </r>
  <r>
    <d v="2017-02-06T00:00:00"/>
    <n v="50"/>
    <m/>
    <n v="50"/>
    <n v="0"/>
    <s v="C"/>
    <x v="3"/>
    <s v="Ass. Passepartout"/>
    <s v="contrib laboratori"/>
    <s v="QUOTE ATTIVITÀ CULT."/>
    <n v="2301"/>
    <m/>
    <m/>
  </r>
  <r>
    <d v="2017-02-07T00:00:00"/>
    <n v="-265.26"/>
    <m/>
    <n v="0"/>
    <n v="-265.26"/>
    <s v="B"/>
    <x v="0"/>
    <s v="Brusacà"/>
    <s v="consulenza fiscale (314,90-49,64 r.a.) (+ra versate)"/>
    <s v="PROFESSIONISTI"/>
    <n v="1206"/>
    <n v="3"/>
    <m/>
  </r>
  <r>
    <d v="2017-02-07T00:00:00"/>
    <n v="-1"/>
    <m/>
    <n v="0"/>
    <n v="-1"/>
    <s v="B"/>
    <x v="0"/>
    <s v="Banca Etica"/>
    <s v="BE comm bonif Brusacà"/>
    <s v="SPESE BANCARIE"/>
    <n v="1401"/>
    <n v="3"/>
    <m/>
  </r>
  <r>
    <d v="2017-02-07T00:00:00"/>
    <n v="-49.64"/>
    <m/>
    <n v="0"/>
    <n v="-49.64"/>
    <s v="B"/>
    <x v="0"/>
    <s v="Erario"/>
    <s v="Vers r.a. 02/2017 (Brusacà)"/>
    <s v="RIT D'ACC VERSATE"/>
    <n v="1502"/>
    <n v="3"/>
    <m/>
  </r>
  <r>
    <d v="2017-02-07T00:00:00"/>
    <n v="-203.03"/>
    <m/>
    <n v="0"/>
    <n v="-203.03"/>
    <s v="B"/>
    <x v="0"/>
    <s v="Erario"/>
    <s v="Vers r.a. 12/2016 + ravv.op. (Brusacà)"/>
    <s v="RIT D'ACC VERSATE"/>
    <n v="1502"/>
    <n v="3"/>
    <m/>
  </r>
  <r>
    <d v="2017-02-28T00:00:00"/>
    <n v="-1"/>
    <m/>
    <n v="0"/>
    <n v="-1"/>
    <s v="B"/>
    <x v="0"/>
    <s v="Banca Etica"/>
    <s v="BE canone mensile"/>
    <s v="SPESE BANCARIE"/>
    <n v="1401"/>
    <m/>
    <m/>
  </r>
  <r>
    <d v="2017-02-28T00:00:00"/>
    <n v="264"/>
    <m/>
    <n v="264"/>
    <n v="0"/>
    <s v="C"/>
    <x v="4"/>
    <s v="BERNABO' BREA"/>
    <s v="contrib laboratori"/>
    <s v="QUOTE ATTIVITÀ CULT."/>
    <n v="2301"/>
    <m/>
    <m/>
  </r>
  <r>
    <d v="2017-03-18T00:00:00"/>
    <n v="30"/>
    <m/>
    <n v="30"/>
    <n v="0"/>
    <s v="C"/>
    <x v="5"/>
    <s v="Utenti"/>
    <s v="Iscrizione 6 soci"/>
    <s v="QUOTE SOCIALI"/>
    <n v="2000"/>
    <m/>
    <m/>
  </r>
  <r>
    <d v="2017-03-20T00:00:00"/>
    <n v="50"/>
    <m/>
    <n v="50"/>
    <n v="0"/>
    <s v="C"/>
    <x v="6"/>
    <s v="Ass. Passepartout"/>
    <s v="contrib laboratori"/>
    <s v="QUOTE ATTIVITÀ CULT."/>
    <n v="2301"/>
    <m/>
    <m/>
  </r>
  <r>
    <d v="2017-03-24T00:00:00"/>
    <n v="-4.75"/>
    <m/>
    <n v="0"/>
    <n v="-4.75"/>
    <s v="C"/>
    <x v="0"/>
    <s v="Poste italiane"/>
    <s v="francobolli"/>
    <s v="POSTALI"/>
    <n v="1202"/>
    <m/>
    <m/>
  </r>
  <r>
    <d v="2017-03-26T00:00:00"/>
    <n v="-10.6"/>
    <m/>
    <n v="0"/>
    <n v="-10.6"/>
    <s v="C"/>
    <x v="4"/>
    <s v="Morchio A."/>
    <s v="NS rist"/>
    <s v="RIMBORSI VIAGGIO"/>
    <n v="1302"/>
    <n v="4"/>
    <m/>
  </r>
  <r>
    <d v="2017-03-26T00:00:00"/>
    <n v="-16.72"/>
    <m/>
    <n v="0"/>
    <n v="-16.72"/>
    <s v="C"/>
    <x v="7"/>
    <s v="Morchio A."/>
    <s v="NS rimb km"/>
    <s v="RIMBORSI VIAGGIO"/>
    <n v="1302"/>
    <n v="4"/>
    <m/>
  </r>
  <r>
    <d v="2017-03-26T00:00:00"/>
    <n v="-16.72"/>
    <m/>
    <n v="0"/>
    <n v="-16.72"/>
    <s v="C"/>
    <x v="7"/>
    <s v="Morchio M."/>
    <s v="NS rimb km"/>
    <s v="RIMBORSI VIAGGIO"/>
    <n v="1302"/>
    <n v="5"/>
    <m/>
  </r>
  <r>
    <d v="2017-03-26T00:00:00"/>
    <n v="-39.799999999999997"/>
    <m/>
    <n v="0"/>
    <n v="-39.799999999999997"/>
    <s v="C"/>
    <x v="8"/>
    <s v="Morchio M."/>
    <s v="NS rist"/>
    <s v="RIMBORSI VIAGGIO"/>
    <n v="1302"/>
    <n v="5"/>
    <m/>
  </r>
  <r>
    <d v="2017-03-31T00:00:00"/>
    <n v="-1"/>
    <m/>
    <n v="0"/>
    <n v="-1"/>
    <s v="B"/>
    <x v="0"/>
    <s v="Banca Etica"/>
    <s v="BE comm bonif Graffigna"/>
    <s v="SPESE BANCARIE"/>
    <n v="1401"/>
    <n v="6"/>
    <m/>
  </r>
  <r>
    <d v="2017-03-31T00:00:00"/>
    <n v="-1"/>
    <m/>
    <n v="0"/>
    <n v="-1"/>
    <s v="B"/>
    <x v="0"/>
    <s v="Banca Etica"/>
    <s v="BE canone mensile"/>
    <s v="SPESE BANCARIE"/>
    <n v="1401"/>
    <s v=""/>
    <m/>
  </r>
  <r>
    <d v="2017-03-31T00:00:00"/>
    <n v="-0.49"/>
    <m/>
    <n v="0"/>
    <n v="-0.49"/>
    <s v="P"/>
    <x v="2"/>
    <s v="PAYPAL"/>
    <s v="PP comm vendita favole"/>
    <s v="SPESE GESTIONE DIVERSE"/>
    <n v="1602"/>
    <n v="7"/>
    <m/>
  </r>
  <r>
    <d v="2017-03-31T00:00:00"/>
    <n v="-100"/>
    <m/>
    <n v="0"/>
    <n v="-100"/>
    <s v="B"/>
    <x v="9"/>
    <s v="Graffigna"/>
    <s v="compenso artisti (125 - 25 r.a)"/>
    <s v="RACCOLTE PUBBLICHE - COSTI"/>
    <n v="1700"/>
    <n v="6"/>
    <m/>
  </r>
  <r>
    <d v="2017-03-31T00:00:00"/>
    <n v="4"/>
    <m/>
    <n v="4"/>
    <n v="0"/>
    <s v="P"/>
    <x v="2"/>
    <s v="Utenti"/>
    <s v="vendita favole sito 03/2017"/>
    <s v="PROVENTI VENDITA"/>
    <n v="2601"/>
    <n v="7"/>
    <m/>
  </r>
  <r>
    <d v="2017-04-03T00:00:00"/>
    <n v="-1300"/>
    <m/>
    <n v="0"/>
    <n v="-1300"/>
    <s v="C"/>
    <x v="0"/>
    <s v="Banca Etica"/>
    <s v="versamento su banca"/>
    <s v="ALTRI COSTI GENERALI"/>
    <n v="1208"/>
    <n v="8"/>
    <m/>
  </r>
  <r>
    <d v="2017-04-03T00:00:00"/>
    <n v="-1"/>
    <m/>
    <n v="0"/>
    <n v="-1"/>
    <s v="C"/>
    <x v="0"/>
    <s v="Banca Etica"/>
    <s v="comm su versamento su banca"/>
    <s v="SPESE BANCARIE"/>
    <n v="1401"/>
    <n v="8"/>
    <m/>
  </r>
  <r>
    <d v="2017-04-03T00:00:00"/>
    <n v="1300"/>
    <m/>
    <n v="1300"/>
    <n v="0"/>
    <s v="B"/>
    <x v="0"/>
    <s v="Banca Etica"/>
    <s v="versamento su banca"/>
    <s v="ALTRI COSTI GENERALI"/>
    <n v="1208"/>
    <n v="8"/>
    <m/>
  </r>
  <r>
    <d v="2017-04-05T00:00:00"/>
    <n v="-1"/>
    <m/>
    <n v="0"/>
    <n v="-1"/>
    <s v="B"/>
    <x v="0"/>
    <s v="Banca Etica"/>
    <s v="BE comm bonif Ass La corte dei ratti"/>
    <s v="SPESE BANCARIE"/>
    <n v="1401"/>
    <s v="27/2016"/>
    <m/>
  </r>
  <r>
    <d v="2017-04-05T00:00:00"/>
    <n v="-40"/>
    <m/>
    <n v="0"/>
    <n v="-40"/>
    <s v="B"/>
    <x v="9"/>
    <s v="Ass La corte dei ratti"/>
    <s v="compenso artisti - saldo"/>
    <s v="RACCOLTE PUBBLICHE - COSTI"/>
    <n v="1700"/>
    <s v="27/2016"/>
    <m/>
  </r>
  <r>
    <d v="2017-04-13T00:00:00"/>
    <n v="-30"/>
    <m/>
    <n v="0"/>
    <n v="-30"/>
    <s v="C"/>
    <x v="10"/>
    <s v="Favati"/>
    <s v="compenso collaborazione no doc"/>
    <s v="COMPENSI COLLAB IST"/>
    <n v="1301"/>
    <m/>
    <m/>
  </r>
  <r>
    <d v="2017-04-13T00:00:00"/>
    <n v="64"/>
    <m/>
    <n v="64"/>
    <n v="0"/>
    <s v="C"/>
    <x v="10"/>
    <s v="Asilo S.Quirico"/>
    <s v="contrib laboratori"/>
    <s v="QUOTE ATTIVITÀ CULT."/>
    <n v="2301"/>
    <m/>
    <m/>
  </r>
  <r>
    <d v="2017-04-19T00:00:00"/>
    <n v="200"/>
    <m/>
    <n v="200"/>
    <n v="0"/>
    <s v="C"/>
    <x v="11"/>
    <s v="De Costanzo"/>
    <s v="contrib favola"/>
    <s v="PROVENTI VENDITA"/>
    <n v="2601"/>
    <m/>
    <m/>
  </r>
  <r>
    <d v="2017-04-22T00:00:00"/>
    <n v="-38"/>
    <m/>
    <n v="0"/>
    <n v="-38"/>
    <s v="C"/>
    <x v="12"/>
    <s v="Aggiohouse"/>
    <s v="focaccia"/>
    <s v="MATERIALE CONSUMO IST"/>
    <n v="1303"/>
    <m/>
    <m/>
  </r>
  <r>
    <d v="2017-04-22T00:00:00"/>
    <n v="50"/>
    <m/>
    <n v="50"/>
    <n v="0"/>
    <s v="C"/>
    <x v="12"/>
    <s v="Utenti"/>
    <s v="Iscrizione 10 soci"/>
    <s v="QUOTE SOCIALI"/>
    <n v="2000"/>
    <n v="9"/>
    <m/>
  </r>
  <r>
    <d v="2017-04-22T00:00:00"/>
    <n v="52.5"/>
    <m/>
    <n v="52.5"/>
    <n v="0"/>
    <s v="C"/>
    <x v="12"/>
    <s v="Utenti"/>
    <s v="contrib laboratori"/>
    <s v="QUOTE ATTIVITÀ CULT."/>
    <n v="2301"/>
    <n v="9"/>
    <m/>
  </r>
  <r>
    <d v="2017-05-31T00:00:00"/>
    <n v="-0.49"/>
    <m/>
    <n v="0"/>
    <n v="-0.49"/>
    <s v="P"/>
    <x v="2"/>
    <s v="PAYPAL"/>
    <s v="PP comm vendita favole"/>
    <s v="SPESE GESTIONE DIVERSE"/>
    <n v="1602"/>
    <n v="10"/>
    <m/>
  </r>
  <r>
    <d v="2017-05-31T00:00:00"/>
    <n v="4"/>
    <m/>
    <n v="4"/>
    <n v="0"/>
    <s v="P"/>
    <x v="2"/>
    <s v="Utenti"/>
    <s v="vendita favole sito 05/2017"/>
    <s v="PROVENTI VENDITA"/>
    <n v="2601"/>
    <n v="10"/>
    <m/>
  </r>
  <r>
    <d v="2017-06-17T00:00:00"/>
    <n v="-203.6"/>
    <m/>
    <n v="0"/>
    <n v="-203.6"/>
    <s v="C"/>
    <x v="13"/>
    <s v="Geroldi"/>
    <s v="compenso collaborazione (254.50 - 50.90 r.a.)"/>
    <s v="COMPENSI COLLAB IST"/>
    <n v="1301"/>
    <s v=""/>
    <m/>
  </r>
  <r>
    <d v="2017-06-17T00:00:00"/>
    <n v="-37"/>
    <m/>
    <n v="0"/>
    <n v="-37"/>
    <s v="C"/>
    <x v="13"/>
    <s v="Panificio Quintano"/>
    <s v="focaccia/pizza"/>
    <s v="MATERIALE CONSUMO IST"/>
    <n v="1303"/>
    <s v=""/>
    <m/>
  </r>
  <r>
    <d v="2017-06-17T00:00:00"/>
    <n v="-50"/>
    <m/>
    <n v="0"/>
    <n v="-50"/>
    <s v="C"/>
    <x v="13"/>
    <s v="Conv. S. Barnaba"/>
    <s v="compenso collaborazione"/>
    <s v="CONTRIB AD ALTRE ASS"/>
    <n v="1304"/>
    <s v=""/>
    <m/>
  </r>
  <r>
    <d v="2017-06-17T00:00:00"/>
    <n v="35"/>
    <m/>
    <n v="35"/>
    <n v="0"/>
    <s v="C"/>
    <x v="13"/>
    <s v="Utenti"/>
    <s v="Iscrizione 7 soci"/>
    <s v="QUOTE SOCIALI"/>
    <n v="2000"/>
    <n v="11"/>
    <m/>
  </r>
  <r>
    <d v="2017-06-17T00:00:00"/>
    <n v="50"/>
    <m/>
    <n v="50"/>
    <n v="0"/>
    <s v="C"/>
    <x v="13"/>
    <s v="Utenti"/>
    <s v="contrib laboratori"/>
    <s v="QUOTE ATTIVITÀ CULT."/>
    <n v="2301"/>
    <n v="11"/>
    <m/>
  </r>
  <r>
    <d v="2017-07-05T00:00:00"/>
    <n v="-1"/>
    <m/>
    <n v="0"/>
    <n v="-1"/>
    <s v="B"/>
    <x v="0"/>
    <s v="Banca Etica"/>
    <s v="BE comm bonif Brusacà"/>
    <s v="SPESE BANCARIE"/>
    <n v="1401"/>
    <n v="12"/>
    <m/>
  </r>
  <r>
    <d v="2017-07-05T00:00:00"/>
    <n v="-75.900000000000006"/>
    <m/>
    <n v="0"/>
    <n v="-75.900000000000006"/>
    <s v="B"/>
    <x v="0"/>
    <s v="Erario"/>
    <s v="Vers r.a. 03-06/2017 (Brusacà)"/>
    <s v="RIT D'ACC VERSATE"/>
    <n v="1502"/>
    <n v="12"/>
    <m/>
  </r>
  <r>
    <d v="2017-07-14T00:00:00"/>
    <n v="-50"/>
    <m/>
    <n v="0"/>
    <n v="-50"/>
    <s v="C"/>
    <x v="12"/>
    <s v="I cantastorie"/>
    <s v="compenso collaborazione"/>
    <s v="CONTRIB AD ALTRE ASS"/>
    <n v="1304"/>
    <n v="13"/>
    <m/>
  </r>
  <r>
    <d v="2017-07-14T00:00:00"/>
    <n v="-50"/>
    <m/>
    <n v="0"/>
    <n v="-50"/>
    <s v="C"/>
    <x v="14"/>
    <s v="I cantastorie"/>
    <s v="compenso collaborazione"/>
    <s v="CONTRIB AD ALTRE ASS"/>
    <n v="1304"/>
    <n v="13"/>
    <m/>
  </r>
  <r>
    <d v="2017-07-14T00:00:00"/>
    <n v="75"/>
    <m/>
    <n v="75"/>
    <n v="0"/>
    <s v="C"/>
    <x v="14"/>
    <s v="Utenti"/>
    <s v="Iscrizione 15 soci"/>
    <s v="QUOTE SOCIALI"/>
    <n v="2000"/>
    <n v="14"/>
    <m/>
  </r>
  <r>
    <d v="2017-07-14T00:00:00"/>
    <n v="30"/>
    <m/>
    <n v="30"/>
    <n v="0"/>
    <s v="C"/>
    <x v="14"/>
    <s v="Utenti"/>
    <s v="contrib laboratori"/>
    <s v="QUOTE ATTIVITÀ CULT."/>
    <n v="2301"/>
    <n v="14"/>
    <m/>
  </r>
  <r>
    <d v="2017-07-31T00:00:00"/>
    <n v="-12"/>
    <m/>
    <n v="0"/>
    <n v="-12"/>
    <s v="C"/>
    <x v="12"/>
    <s v="Morchio M."/>
    <s v="NS rist"/>
    <s v="RIMBORSI VIAGGIO"/>
    <n v="1302"/>
    <n v="16"/>
    <m/>
  </r>
  <r>
    <d v="2017-07-31T00:00:00"/>
    <n v="-9.1999999999999993"/>
    <m/>
    <n v="0"/>
    <n v="-9.1999999999999993"/>
    <s v="C"/>
    <x v="15"/>
    <s v="Morchio M."/>
    <s v="NS rist"/>
    <s v="RIMBORSI VIAGGIO"/>
    <n v="1302"/>
    <n v="16"/>
    <m/>
  </r>
  <r>
    <d v="2017-07-31T00:00:00"/>
    <n v="-0.52"/>
    <m/>
    <n v="0"/>
    <n v="-0.52"/>
    <s v="P"/>
    <x v="2"/>
    <s v="PAYPAL"/>
    <s v="PP comm vendita favole"/>
    <s v="SPESE GESTIONE DIVERSE"/>
    <n v="1602"/>
    <n v="15"/>
    <m/>
  </r>
  <r>
    <d v="2017-07-31T00:00:00"/>
    <n v="5"/>
    <m/>
    <n v="5"/>
    <n v="0"/>
    <s v="P"/>
    <x v="2"/>
    <s v="Utenti"/>
    <s v="vendita favole sito 07/2017"/>
    <s v="PROVENTI VENDITA"/>
    <n v="2601"/>
    <n v="15"/>
    <m/>
  </r>
  <r>
    <d v="2017-08-28T00:00:00"/>
    <n v="-3"/>
    <m/>
    <n v="0"/>
    <n v="-3"/>
    <s v="C"/>
    <x v="16"/>
    <s v="Tiger Italia"/>
    <s v="premi concorso"/>
    <s v="MATERIALE CONSUMO IST"/>
    <n v="1303"/>
    <m/>
    <m/>
  </r>
  <r>
    <d v="2017-08-28T00:00:00"/>
    <n v="-23.68"/>
    <m/>
    <n v="0"/>
    <n v="-23.68"/>
    <s v="C"/>
    <x v="16"/>
    <s v="Sele &amp; Mark"/>
    <s v="premi concorso"/>
    <s v="MATERIALE CONSUMO IST"/>
    <n v="1303"/>
    <m/>
    <m/>
  </r>
  <r>
    <d v="2017-08-28T00:00:00"/>
    <n v="-9"/>
    <m/>
    <n v="0"/>
    <n v="-9"/>
    <s v="C"/>
    <x v="16"/>
    <s v="Giangiò"/>
    <s v="premi concorso"/>
    <s v="MATERIALE CONSUMO IST"/>
    <n v="1303"/>
    <m/>
    <m/>
  </r>
  <r>
    <d v="2017-08-31T00:00:00"/>
    <n v="-72.34"/>
    <m/>
    <n v="0"/>
    <n v="-72.34"/>
    <s v="C"/>
    <x v="8"/>
    <s v="Morchio M."/>
    <s v="NS rist/pedaggi/pedaggi no doc/parcheggi/rimb km/treno"/>
    <s v="RIMBORSI VIAGGIO"/>
    <n v="1302"/>
    <m/>
    <m/>
  </r>
  <r>
    <d v="2017-09-01T00:00:00"/>
    <n v="-14.05"/>
    <m/>
    <n v="0"/>
    <n v="-14.05"/>
    <s v="C"/>
    <x v="16"/>
    <s v="La piccola Oasi"/>
    <s v="bevande"/>
    <s v="MATERIALE CONSUMO IST"/>
    <n v="1303"/>
    <m/>
    <m/>
  </r>
  <r>
    <d v="2017-09-02T00:00:00"/>
    <n v="5"/>
    <m/>
    <n v="5"/>
    <n v="0"/>
    <s v="C"/>
    <x v="16"/>
    <s v="Utenti"/>
    <s v="Iscrizione 1 socio"/>
    <s v="QUOTE SOCIALI"/>
    <n v="2000"/>
    <n v="17"/>
    <m/>
  </r>
  <r>
    <d v="2017-09-02T00:00:00"/>
    <n v="30"/>
    <m/>
    <n v="30"/>
    <n v="0"/>
    <s v="C"/>
    <x v="16"/>
    <s v="Utenti"/>
    <s v="contrib ass"/>
    <s v="CONTRIB SOCI/PRIVATI"/>
    <n v="2202"/>
    <n v="17"/>
    <m/>
  </r>
  <r>
    <d v="2017-09-14T00:00:00"/>
    <n v="-33.99"/>
    <m/>
    <n v="0"/>
    <n v="-33.99"/>
    <s v="B"/>
    <x v="0"/>
    <s v="Shenzhenshi (Amazon)"/>
    <s v="Registratore vocale"/>
    <s v="ALTRI COSTI GENERALI"/>
    <n v="1208"/>
    <m/>
    <m/>
  </r>
  <r>
    <d v="2017-09-30T00:00:00"/>
    <n v="-65.14"/>
    <m/>
    <n v="0"/>
    <n v="-65.14"/>
    <s v="C"/>
    <x v="17"/>
    <s v="Morchio M."/>
    <s v="NS rist/pedaggi/rimb km"/>
    <s v="RIMBORSI VIAGGIO"/>
    <n v="1302"/>
    <m/>
    <m/>
  </r>
  <r>
    <d v="2017-09-30T00:00:00"/>
    <n v="-17.3"/>
    <m/>
    <n v="0"/>
    <n v="-17.3"/>
    <s v="C"/>
    <x v="17"/>
    <s v="Morchio A."/>
    <s v="NS parcheggi"/>
    <s v="RIMBORSI VIAGGIO"/>
    <n v="1302"/>
    <m/>
    <m/>
  </r>
  <r>
    <d v="2017-10-09T00:00:00"/>
    <n v="50"/>
    <m/>
    <n v="50"/>
    <n v="0"/>
    <s v="B"/>
    <x v="0"/>
    <s v="Mip Sas"/>
    <s v="contrib ass"/>
    <s v="CONTRIB SOCI/PRIVATI"/>
    <n v="2202"/>
    <m/>
    <m/>
  </r>
  <r>
    <d v="2017-10-12T00:00:00"/>
    <n v="5"/>
    <m/>
    <n v="5"/>
    <n v="0"/>
    <s v="C"/>
    <x v="0"/>
    <s v="Utenti"/>
    <s v="Iscrizione 1 socio"/>
    <s v="QUOTE SOCIALI"/>
    <n v="2000"/>
    <m/>
    <m/>
  </r>
  <r>
    <d v="2017-10-17T00:00:00"/>
    <n v="-9.1999999999999993"/>
    <m/>
    <n v="0"/>
    <n v="-9.1999999999999993"/>
    <s v="C"/>
    <x v="18"/>
    <s v="Morchio M."/>
    <s v="NS rist"/>
    <s v="RIMBORSI VIAGGIO"/>
    <n v="1302"/>
    <n v="18"/>
    <m/>
  </r>
  <r>
    <d v="2017-10-17T00:00:00"/>
    <n v="-10"/>
    <m/>
    <n v="0"/>
    <n v="-10"/>
    <s v="C"/>
    <x v="19"/>
    <s v="Morchio M."/>
    <s v="NS rist no doc"/>
    <s v="RIMBORSI VIAGGIO"/>
    <n v="1302"/>
    <n v="18"/>
    <m/>
  </r>
  <r>
    <d v="2017-10-17T00:00:00"/>
    <n v="-89"/>
    <m/>
    <n v="0"/>
    <n v="-89"/>
    <s v="C"/>
    <x v="0"/>
    <s v="Italia holding"/>
    <s v="laboratorio calligrafia (Webdada)"/>
    <s v="CONTRIB AD ALTRE ASS"/>
    <n v="1304"/>
    <m/>
    <s v="contanti? Ricevuta?"/>
  </r>
  <r>
    <d v="2017-10-17T00:00:00"/>
    <n v="-1"/>
    <m/>
    <n v="0"/>
    <n v="-1"/>
    <s v="B"/>
    <x v="0"/>
    <s v="Banca Etica"/>
    <s v="BE comm bonif Italia holding"/>
    <s v="SPESE BANCARIE"/>
    <n v="1401"/>
    <n v="19"/>
    <m/>
  </r>
  <r>
    <d v="2017-10-17T00:00:00"/>
    <n v="-89"/>
    <m/>
    <n v="0"/>
    <n v="-89"/>
    <s v="B"/>
    <x v="0"/>
    <s v="Italia holding"/>
    <s v="laboratorio calligrafia (Webdada)"/>
    <s v="CONTRIB AD ALTRE ASS"/>
    <n v="1304"/>
    <n v="19"/>
    <s v="Ricevuta?"/>
  </r>
  <r>
    <d v="2017-11-01T00:00:00"/>
    <n v="-8"/>
    <m/>
    <n v="0"/>
    <n v="-8"/>
    <s v="C"/>
    <x v="18"/>
    <s v="Morchio M."/>
    <s v="NS treno"/>
    <s v="RIMBORSI VIAGGIO"/>
    <n v="1302"/>
    <m/>
    <s v="fare NS"/>
  </r>
  <r>
    <d v="2017-11-01T00:00:00"/>
    <n v="-8"/>
    <m/>
    <n v="0"/>
    <n v="-8"/>
    <s v="C"/>
    <x v="18"/>
    <s v="Morchio A."/>
    <s v="NS treno"/>
    <s v="RIMBORSI VIAGGIO"/>
    <n v="1302"/>
    <m/>
    <s v="fare NS"/>
  </r>
  <r>
    <d v="2017-11-01T00:00:00"/>
    <n v="83"/>
    <m/>
    <n v="83"/>
    <n v="0"/>
    <s v="C"/>
    <x v="18"/>
    <s v="Bam 'Baye"/>
    <s v="contrib laboratori"/>
    <s v="QUOTE ATTIVITÀ CULT."/>
    <n v="2301"/>
    <m/>
    <m/>
  </r>
  <r>
    <d v="2017-11-07T00:00:00"/>
    <n v="-20"/>
    <m/>
    <n v="0"/>
    <n v="-20"/>
    <s v="B"/>
    <x v="0"/>
    <s v="Erario"/>
    <s v="IRES/IRAP 2016 (Brusacà)"/>
    <s v="IMPOSTE DIRETTE (IRES E IRAP)"/>
    <n v="1503"/>
    <n v="20"/>
    <m/>
  </r>
  <r>
    <d v="2017-11-07T00:00:00"/>
    <n v="-213.76"/>
    <m/>
    <n v="0"/>
    <n v="-213.76"/>
    <s v="B"/>
    <x v="0"/>
    <s v="Brusacà"/>
    <s v="consulenza fiscale 2016/2017 (273-40 r.a.)"/>
    <s v="PROFESSIONISTI"/>
    <n v="1206"/>
    <n v="20"/>
    <m/>
  </r>
  <r>
    <d v="2017-11-07T00:00:00"/>
    <n v="-1"/>
    <m/>
    <n v="0"/>
    <n v="-1"/>
    <s v="B"/>
    <x v="0"/>
    <s v="Banca Etica"/>
    <s v="BE comm bonif Brusacà"/>
    <s v="SPESE BANCARIE"/>
    <n v="1401"/>
    <n v="20"/>
    <m/>
  </r>
  <r>
    <d v="2017-11-28T00:00:00"/>
    <n v="-335.5"/>
    <m/>
    <n v="0"/>
    <n v="-335.5"/>
    <s v="B"/>
    <x v="0"/>
    <s v="Gmg net"/>
    <s v="gestione sito"/>
    <s v="SITO WEB"/>
    <n v="1207"/>
    <n v="21"/>
    <s v="ft?"/>
  </r>
  <r>
    <d v="2017-11-28T00:00:00"/>
    <n v="-1"/>
    <m/>
    <n v="0"/>
    <n v="-1"/>
    <s v="B"/>
    <x v="0"/>
    <s v="Banca Etica"/>
    <s v="BE comm bonif Gmg net"/>
    <s v="SPESE BANCARIE"/>
    <n v="1401"/>
    <n v="21"/>
    <m/>
  </r>
  <r>
    <d v="2017-11-30T00:00:00"/>
    <n v="21.9"/>
    <m/>
    <n v="21.9"/>
    <n v="0"/>
    <s v="B"/>
    <x v="0"/>
    <s v="Utenti"/>
    <s v="vendita Intellighiotta"/>
    <s v="PROVENTI VENDITA"/>
    <n v="2601"/>
    <m/>
    <m/>
  </r>
  <r>
    <d v="2017-11-30T00:00:00"/>
    <n v="-1"/>
    <m/>
    <n v="0"/>
    <n v="-1"/>
    <s v="B"/>
    <x v="0"/>
    <s v="Banca Etica"/>
    <s v="BE canone mensile"/>
    <s v="SPESE BANCARIE"/>
    <n v="1401"/>
    <m/>
    <m/>
  </r>
  <r>
    <d v="2017-12-05T00:00:00"/>
    <n v="-6.9"/>
    <m/>
    <n v="0"/>
    <n v="-6.9"/>
    <s v="P"/>
    <x v="0"/>
    <s v="Cons. logistica pacchi"/>
    <s v="spedizione Intellighiotta"/>
    <s v="POSTALI"/>
    <n v="1202"/>
    <m/>
    <m/>
  </r>
  <r>
    <d v="2017-12-12T00:00:00"/>
    <n v="300"/>
    <m/>
    <n v="300"/>
    <n v="0"/>
    <s v="B"/>
    <x v="17"/>
    <s v="Miobimbo"/>
    <s v="contrib laboratori"/>
    <s v="QUOTE ATTIVITÀ CULT."/>
    <n v="2301"/>
    <m/>
    <s v="Ricevuta?"/>
  </r>
  <r>
    <d v="2017-12-12T00:00:00"/>
    <n v="75"/>
    <m/>
    <n v="75"/>
    <n v="0"/>
    <s v="C"/>
    <x v="0"/>
    <s v="Utenti"/>
    <s v="vendita Intellighiotta"/>
    <s v="PROVENTI VENDITA"/>
    <n v="2601"/>
    <m/>
    <m/>
  </r>
  <r>
    <d v="2017-12-20T00:00:00"/>
    <n v="104"/>
    <m/>
    <n v="104"/>
    <n v="0"/>
    <s v="C"/>
    <x v="0"/>
    <s v="Utenti"/>
    <s v="vendita Intellighiotta"/>
    <s v="PROVENTI VENDITA"/>
    <n v="2601"/>
    <m/>
    <m/>
  </r>
  <r>
    <d v="2017-12-28T00:00:00"/>
    <n v="-40"/>
    <m/>
    <n v="0"/>
    <n v="-40"/>
    <s v="B"/>
    <x v="5"/>
    <s v="Erario"/>
    <s v="Vers r.a brusacà 11/2017"/>
    <s v="RIT D'ACC VERSATE"/>
    <n v="1502"/>
    <n v="22"/>
    <s v="ft?"/>
  </r>
  <r>
    <d v="2017-12-28T00:00:00"/>
    <n v="-1"/>
    <m/>
    <n v="0"/>
    <n v="-1"/>
    <s v="B"/>
    <x v="0"/>
    <s v="Banca Etica"/>
    <s v="BE comm bonif Brusacà"/>
    <s v="SPESE BANCARIE"/>
    <n v="1401"/>
    <n v="22"/>
    <m/>
  </r>
  <r>
    <d v="2017-12-31T00:00:00"/>
    <n v="-1"/>
    <m/>
    <n v="0"/>
    <n v="-1"/>
    <s v="B"/>
    <x v="0"/>
    <s v="Banca Etica"/>
    <s v="BE canone mensile"/>
    <s v="SPESE BANCARIE"/>
    <n v="1401"/>
    <m/>
    <m/>
  </r>
  <r>
    <m/>
    <m/>
    <m/>
    <n v="0"/>
    <n v="0"/>
    <m/>
    <x v="5"/>
    <m/>
    <m/>
    <m/>
    <e v="#N/A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>
  <location ref="B4:E26" firstHeaderRow="1" firstDataRow="2" firstDataCol="1"/>
  <pivotFields count="13">
    <pivotField showAll="0"/>
    <pivotField dataField="1" showAll="0"/>
    <pivotField showAll="0"/>
    <pivotField dataField="1" showAll="0" defaultSubtotal="0"/>
    <pivotField dataField="1" showAll="0" defaultSubtotal="0"/>
    <pivotField showAll="0" defaultSubtotal="0"/>
    <pivotField axis="axisRow" showAll="0" sortType="ascending">
      <items count="39">
        <item x="16"/>
        <item m="1" x="25"/>
        <item x="8"/>
        <item m="1" x="30"/>
        <item m="1" x="23"/>
        <item x="14"/>
        <item m="1" x="33"/>
        <item m="1" x="35"/>
        <item x="13"/>
        <item m="1" x="37"/>
        <item m="1" x="21"/>
        <item x="11"/>
        <item x="2"/>
        <item m="1" x="28"/>
        <item x="4"/>
        <item m="1" x="36"/>
        <item x="0"/>
        <item x="9"/>
        <item m="1" x="32"/>
        <item x="6"/>
        <item m="1" x="20"/>
        <item x="10"/>
        <item x="3"/>
        <item m="1" x="26"/>
        <item x="17"/>
        <item m="1" x="31"/>
        <item x="15"/>
        <item x="1"/>
        <item m="1" x="27"/>
        <item x="19"/>
        <item m="1" x="22"/>
        <item m="1" x="34"/>
        <item m="1" x="29"/>
        <item x="7"/>
        <item x="18"/>
        <item x="12"/>
        <item m="1" x="24"/>
        <item x="5"/>
        <item t="default"/>
      </items>
    </pivotField>
    <pivotField showAll="0"/>
    <pivotField showAll="0"/>
    <pivotField showAll="0" defaultSubtotal="0"/>
    <pivotField showAll="0" defaultSubtotal="0"/>
    <pivotField showAll="0" defaultSubtotal="0"/>
    <pivotField showAll="0"/>
  </pivotFields>
  <rowFields count="1">
    <field x="6"/>
  </rowFields>
  <rowItems count="21">
    <i>
      <x/>
    </i>
    <i>
      <x v="2"/>
    </i>
    <i>
      <x v="5"/>
    </i>
    <i>
      <x v="8"/>
    </i>
    <i>
      <x v="11"/>
    </i>
    <i>
      <x v="12"/>
    </i>
    <i>
      <x v="14"/>
    </i>
    <i>
      <x v="16"/>
    </i>
    <i>
      <x v="17"/>
    </i>
    <i>
      <x v="19"/>
    </i>
    <i>
      <x v="21"/>
    </i>
    <i>
      <x v="22"/>
    </i>
    <i>
      <x v="24"/>
    </i>
    <i>
      <x v="26"/>
    </i>
    <i>
      <x v="27"/>
    </i>
    <i>
      <x v="29"/>
    </i>
    <i>
      <x v="33"/>
    </i>
    <i>
      <x v="34"/>
    </i>
    <i>
      <x v="35"/>
    </i>
    <i>
      <x v="3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E" fld="3" baseField="0" baseItem="0" numFmtId="4"/>
    <dataField name="Sum of U" fld="4" baseField="0" baseItem="0" numFmtId="4"/>
    <dataField name="Sum of €" fld="1" baseField="0" baseItem="0" numFmtId="165"/>
  </dataFields>
  <formats count="7">
    <format dxfId="32">
      <pivotArea collapsedLevelsAreSubtotals="1" fieldPosition="0">
        <references count="1">
          <reference field="6" count="0"/>
        </references>
      </pivotArea>
    </format>
    <format dxfId="31">
      <pivotArea dataOnly="0" labelOnly="1" fieldPosition="0">
        <references count="1">
          <reference field="6" count="0"/>
        </references>
      </pivotArea>
    </format>
    <format dxfId="30">
      <pivotArea field="-2" type="button" dataOnly="0" labelOnly="1" outline="0" axis="axisCol" fieldPosition="0"/>
    </format>
    <format dxfId="29">
      <pivotArea type="topRight" dataOnly="0" labelOnly="1" outline="0" fieldPosition="0"/>
    </format>
    <format dxfId="28">
      <pivotArea outline="0" fieldPosition="0">
        <references count="1">
          <reference field="4294967294" count="1">
            <x v="0"/>
          </reference>
        </references>
      </pivotArea>
    </format>
    <format dxfId="27">
      <pivotArea outline="0" fieldPosition="0">
        <references count="1">
          <reference field="4294967294" count="1">
            <x v="1"/>
          </reference>
        </references>
      </pivotArea>
    </format>
    <format dxfId="26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zoomScaleNormal="100" workbookViewId="0">
      <pane ySplit="1" topLeftCell="A84" activePane="bottomLeft" state="frozen"/>
      <selection pane="bottomLeft" activeCell="K4" sqref="K4"/>
    </sheetView>
  </sheetViews>
  <sheetFormatPr defaultRowHeight="15" x14ac:dyDescent="0.25"/>
  <cols>
    <col min="1" max="1" width="11.85546875" style="4" customWidth="1"/>
    <col min="2" max="3" width="11.7109375" style="7" customWidth="1"/>
    <col min="4" max="5" width="1.7109375" style="7" customWidth="1"/>
    <col min="6" max="6" width="10.5703125" customWidth="1"/>
    <col min="7" max="7" width="21.7109375" bestFit="1" customWidth="1"/>
    <col min="8" max="8" width="24" bestFit="1" customWidth="1"/>
    <col min="9" max="9" width="41.140625" style="37" customWidth="1"/>
    <col min="10" max="10" width="23.7109375" customWidth="1"/>
    <col min="12" max="12" width="4.42578125" customWidth="1"/>
    <col min="13" max="13" width="23.7109375" customWidth="1"/>
    <col min="14" max="14" width="4" customWidth="1"/>
    <col min="15" max="15" width="14" bestFit="1" customWidth="1"/>
    <col min="16" max="16" width="10.85546875" style="16" customWidth="1"/>
  </cols>
  <sheetData>
    <row r="1" spans="1:16" s="2" customFormat="1" ht="45" x14ac:dyDescent="0.25">
      <c r="A1" s="3" t="s">
        <v>0</v>
      </c>
      <c r="B1" s="5" t="s">
        <v>1</v>
      </c>
      <c r="C1" s="5" t="s">
        <v>3</v>
      </c>
      <c r="D1" s="5" t="s">
        <v>45</v>
      </c>
      <c r="E1" s="5" t="s">
        <v>46</v>
      </c>
      <c r="F1" s="2" t="s">
        <v>184</v>
      </c>
      <c r="G1" s="2" t="s">
        <v>4</v>
      </c>
      <c r="H1" s="2" t="s">
        <v>8</v>
      </c>
      <c r="I1" s="31" t="s">
        <v>2</v>
      </c>
      <c r="J1" s="2" t="s">
        <v>125</v>
      </c>
      <c r="K1" s="2" t="s">
        <v>124</v>
      </c>
      <c r="L1" s="2" t="s">
        <v>177</v>
      </c>
      <c r="M1" s="2" t="s">
        <v>5</v>
      </c>
      <c r="P1" s="15"/>
    </row>
    <row r="2" spans="1:16" s="9" customFormat="1" x14ac:dyDescent="0.25">
      <c r="A2" s="14">
        <v>42736</v>
      </c>
      <c r="B2" s="6">
        <f>[1]Cont!$B$192</f>
        <v>1123.79</v>
      </c>
      <c r="C2" s="12"/>
      <c r="D2" s="12">
        <f t="shared" ref="D2:D33" si="0">MAX($B2,0)</f>
        <v>1123.79</v>
      </c>
      <c r="E2" s="12">
        <f t="shared" ref="E2:E33" si="1">MIN($B2,0)</f>
        <v>0</v>
      </c>
      <c r="F2" s="9" t="s">
        <v>6</v>
      </c>
      <c r="G2" s="9" t="s">
        <v>14</v>
      </c>
      <c r="I2" s="36" t="s">
        <v>50</v>
      </c>
      <c r="J2" s="9" t="s">
        <v>126</v>
      </c>
      <c r="K2" s="9">
        <f>VLOOKUP(J2,'Piano conti'!D:E,2,FALSE)</f>
        <v>3001</v>
      </c>
      <c r="P2" s="17"/>
    </row>
    <row r="3" spans="1:16" s="9" customFormat="1" x14ac:dyDescent="0.25">
      <c r="A3" s="14">
        <v>42736</v>
      </c>
      <c r="B3" s="12">
        <v>969.23999999999978</v>
      </c>
      <c r="C3" s="12"/>
      <c r="D3" s="12">
        <f t="shared" si="0"/>
        <v>969.23999999999978</v>
      </c>
      <c r="E3" s="12">
        <f t="shared" si="1"/>
        <v>0</v>
      </c>
      <c r="F3" s="9" t="s">
        <v>7</v>
      </c>
      <c r="G3" s="9" t="s">
        <v>14</v>
      </c>
      <c r="I3" s="36" t="s">
        <v>50</v>
      </c>
      <c r="J3" s="9" t="s">
        <v>127</v>
      </c>
      <c r="K3" s="9">
        <f>VLOOKUP(J3,'Piano conti'!D:E,2,FALSE)</f>
        <v>3002</v>
      </c>
      <c r="P3" s="17"/>
    </row>
    <row r="4" spans="1:16" s="9" customFormat="1" x14ac:dyDescent="0.25">
      <c r="A4" s="14">
        <v>42736</v>
      </c>
      <c r="B4" s="12">
        <v>550.36</v>
      </c>
      <c r="C4" s="12"/>
      <c r="D4" s="12">
        <f t="shared" si="0"/>
        <v>550.36</v>
      </c>
      <c r="E4" s="12">
        <f t="shared" si="1"/>
        <v>0</v>
      </c>
      <c r="F4" s="47" t="s">
        <v>165</v>
      </c>
      <c r="G4" s="9" t="s">
        <v>14</v>
      </c>
      <c r="I4" s="36" t="s">
        <v>50</v>
      </c>
      <c r="J4" s="9" t="s">
        <v>225</v>
      </c>
      <c r="K4" s="9">
        <f>VLOOKUP(J4,'Piano conti'!D:E,2,FALSE)</f>
        <v>3003</v>
      </c>
      <c r="P4" s="17"/>
    </row>
    <row r="5" spans="1:16" s="9" customFormat="1" x14ac:dyDescent="0.25">
      <c r="A5" s="14">
        <v>42746</v>
      </c>
      <c r="B5" s="44"/>
      <c r="C5" s="44"/>
      <c r="D5" s="44">
        <f t="shared" si="0"/>
        <v>0</v>
      </c>
      <c r="E5" s="44">
        <f t="shared" si="1"/>
        <v>0</v>
      </c>
      <c r="F5" s="47" t="s">
        <v>7</v>
      </c>
      <c r="G5" s="9" t="s">
        <v>14</v>
      </c>
      <c r="H5" s="9" t="s">
        <v>16</v>
      </c>
      <c r="I5" s="36" t="s">
        <v>195</v>
      </c>
      <c r="J5" s="9" t="s">
        <v>81</v>
      </c>
      <c r="K5" s="9">
        <f>VLOOKUP(J5,'Piano conti'!D:E,2,FALSE)</f>
        <v>1206</v>
      </c>
      <c r="L5" s="9">
        <v>1</v>
      </c>
      <c r="M5" s="47"/>
      <c r="P5" s="17"/>
    </row>
    <row r="6" spans="1:16" s="9" customFormat="1" x14ac:dyDescent="0.25">
      <c r="A6" s="14">
        <v>42746</v>
      </c>
      <c r="B6" s="44">
        <v>-1</v>
      </c>
      <c r="C6" s="44"/>
      <c r="D6" s="44">
        <f t="shared" si="0"/>
        <v>0</v>
      </c>
      <c r="E6" s="44">
        <f t="shared" si="1"/>
        <v>-1</v>
      </c>
      <c r="F6" s="9" t="s">
        <v>7</v>
      </c>
      <c r="G6" s="9" t="s">
        <v>14</v>
      </c>
      <c r="H6" s="47" t="s">
        <v>9</v>
      </c>
      <c r="I6" s="49" t="s">
        <v>160</v>
      </c>
      <c r="J6" s="9" t="s">
        <v>91</v>
      </c>
      <c r="K6" s="9">
        <f>VLOOKUP(J6,'Piano conti'!D:E,2,FALSE)</f>
        <v>1401</v>
      </c>
      <c r="L6" s="9">
        <v>1</v>
      </c>
      <c r="M6" s="47"/>
      <c r="P6" s="17"/>
    </row>
    <row r="7" spans="1:16" s="45" customFormat="1" x14ac:dyDescent="0.25">
      <c r="A7" s="14">
        <v>42746</v>
      </c>
      <c r="B7" s="42">
        <v>-60</v>
      </c>
      <c r="C7" s="42"/>
      <c r="D7" s="12">
        <f t="shared" si="0"/>
        <v>0</v>
      </c>
      <c r="E7" s="12">
        <f t="shared" si="1"/>
        <v>-60</v>
      </c>
      <c r="F7" s="9" t="s">
        <v>7</v>
      </c>
      <c r="G7" s="9" t="s">
        <v>14</v>
      </c>
      <c r="H7" s="9" t="s">
        <v>56</v>
      </c>
      <c r="I7" s="36" t="s">
        <v>173</v>
      </c>
      <c r="J7" s="9" t="s">
        <v>139</v>
      </c>
      <c r="K7" s="9">
        <f>VLOOKUP(J7,'Piano conti'!D:E,2,FALSE)</f>
        <v>1502</v>
      </c>
      <c r="L7" s="9">
        <v>1</v>
      </c>
      <c r="M7" s="9"/>
      <c r="P7" s="48"/>
    </row>
    <row r="8" spans="1:16" s="45" customFormat="1" x14ac:dyDescent="0.25">
      <c r="A8" s="14">
        <v>42746</v>
      </c>
      <c r="B8" s="42">
        <v>-20</v>
      </c>
      <c r="C8" s="42"/>
      <c r="D8" s="12">
        <f t="shared" si="0"/>
        <v>0</v>
      </c>
      <c r="E8" s="12">
        <f t="shared" si="1"/>
        <v>-20</v>
      </c>
      <c r="F8" s="9" t="s">
        <v>7</v>
      </c>
      <c r="G8" s="9" t="s">
        <v>14</v>
      </c>
      <c r="H8" s="9" t="s">
        <v>56</v>
      </c>
      <c r="I8" s="36" t="s">
        <v>179</v>
      </c>
      <c r="J8" s="9" t="s">
        <v>139</v>
      </c>
      <c r="K8" s="9">
        <f>VLOOKUP(J8,'Piano conti'!D:E,2,FALSE)</f>
        <v>1502</v>
      </c>
      <c r="L8" s="9">
        <v>1</v>
      </c>
      <c r="M8" s="9"/>
      <c r="P8" s="48"/>
    </row>
    <row r="9" spans="1:16" s="45" customFormat="1" x14ac:dyDescent="0.25">
      <c r="A9" s="14">
        <v>42746</v>
      </c>
      <c r="B9" s="44">
        <v>-234.73</v>
      </c>
      <c r="C9" s="44"/>
      <c r="D9" s="44">
        <f t="shared" si="0"/>
        <v>0</v>
      </c>
      <c r="E9" s="44">
        <f t="shared" si="1"/>
        <v>-234.73</v>
      </c>
      <c r="F9" s="9" t="s">
        <v>7</v>
      </c>
      <c r="G9" s="9" t="s">
        <v>14</v>
      </c>
      <c r="H9" s="9" t="s">
        <v>56</v>
      </c>
      <c r="I9" s="36" t="s">
        <v>265</v>
      </c>
      <c r="J9" s="9" t="s">
        <v>100</v>
      </c>
      <c r="K9" s="9">
        <f>VLOOKUP(J9,'Piano conti'!D:E,2,FALSE)</f>
        <v>1503</v>
      </c>
      <c r="L9" s="9">
        <v>1</v>
      </c>
      <c r="M9" s="47"/>
      <c r="P9" s="48"/>
    </row>
    <row r="10" spans="1:16" s="45" customFormat="1" x14ac:dyDescent="0.25">
      <c r="A10" s="43">
        <v>42747</v>
      </c>
      <c r="B10" s="34">
        <v>-10.68</v>
      </c>
      <c r="C10" s="34"/>
      <c r="D10" s="44">
        <f t="shared" si="0"/>
        <v>0</v>
      </c>
      <c r="E10" s="44">
        <f t="shared" si="1"/>
        <v>-10.68</v>
      </c>
      <c r="F10" s="47" t="s">
        <v>6</v>
      </c>
      <c r="G10" s="47" t="s">
        <v>232</v>
      </c>
      <c r="H10" s="47" t="s">
        <v>171</v>
      </c>
      <c r="I10" s="49" t="s">
        <v>203</v>
      </c>
      <c r="J10" s="9" t="s">
        <v>142</v>
      </c>
      <c r="K10" s="9">
        <f>VLOOKUP(J10,'Piano conti'!D:E,2,FALSE)</f>
        <v>1303</v>
      </c>
      <c r="L10" s="47"/>
      <c r="M10" s="47"/>
      <c r="P10" s="48"/>
    </row>
    <row r="11" spans="1:16" s="45" customFormat="1" x14ac:dyDescent="0.25">
      <c r="A11" s="43">
        <v>42752</v>
      </c>
      <c r="B11" s="34">
        <v>150</v>
      </c>
      <c r="C11" s="34"/>
      <c r="D11" s="44">
        <f t="shared" si="0"/>
        <v>150</v>
      </c>
      <c r="E11" s="44">
        <f t="shared" si="1"/>
        <v>0</v>
      </c>
      <c r="F11" s="47" t="s">
        <v>6</v>
      </c>
      <c r="G11" s="47" t="s">
        <v>232</v>
      </c>
      <c r="H11" s="47" t="s">
        <v>232</v>
      </c>
      <c r="I11" s="49" t="s">
        <v>162</v>
      </c>
      <c r="J11" s="9" t="s">
        <v>149</v>
      </c>
      <c r="K11" s="9">
        <f>VLOOKUP(J11,'Piano conti'!D:E,2,FALSE)</f>
        <v>2301</v>
      </c>
      <c r="L11" s="47"/>
      <c r="M11" s="47"/>
      <c r="P11" s="48"/>
    </row>
    <row r="12" spans="1:16" s="45" customFormat="1" x14ac:dyDescent="0.25">
      <c r="A12" s="43">
        <v>42766</v>
      </c>
      <c r="B12" s="34">
        <v>-1</v>
      </c>
      <c r="C12" s="44"/>
      <c r="D12" s="44">
        <f t="shared" si="0"/>
        <v>0</v>
      </c>
      <c r="E12" s="44">
        <f t="shared" si="1"/>
        <v>-1</v>
      </c>
      <c r="F12" s="47" t="s">
        <v>7</v>
      </c>
      <c r="G12" s="47" t="s">
        <v>14</v>
      </c>
      <c r="H12" s="47" t="s">
        <v>9</v>
      </c>
      <c r="I12" s="36" t="s">
        <v>191</v>
      </c>
      <c r="J12" s="9" t="s">
        <v>91</v>
      </c>
      <c r="K12" s="9">
        <f>VLOOKUP(J12,'Piano conti'!D:E,2,FALSE)</f>
        <v>1401</v>
      </c>
      <c r="L12" s="47"/>
      <c r="M12" s="47"/>
      <c r="P12" s="48"/>
    </row>
    <row r="13" spans="1:16" s="45" customFormat="1" x14ac:dyDescent="0.25">
      <c r="A13" s="50">
        <v>42766</v>
      </c>
      <c r="B13" s="103">
        <v>-0.49</v>
      </c>
      <c r="C13" s="34"/>
      <c r="D13" s="44">
        <f t="shared" si="0"/>
        <v>0</v>
      </c>
      <c r="E13" s="44">
        <f t="shared" si="1"/>
        <v>-0.49</v>
      </c>
      <c r="F13" s="45" t="s">
        <v>165</v>
      </c>
      <c r="G13" s="47" t="s">
        <v>166</v>
      </c>
      <c r="H13" s="47" t="s">
        <v>168</v>
      </c>
      <c r="I13" s="49" t="s">
        <v>169</v>
      </c>
      <c r="J13" s="9" t="s">
        <v>141</v>
      </c>
      <c r="K13" s="9">
        <f>VLOOKUP(J13,'Piano conti'!D:E,2,FALSE)</f>
        <v>1602</v>
      </c>
      <c r="L13" s="47">
        <v>2</v>
      </c>
      <c r="M13" s="9"/>
      <c r="P13" s="48"/>
    </row>
    <row r="14" spans="1:16" s="45" customFormat="1" x14ac:dyDescent="0.25">
      <c r="A14" s="43">
        <v>42766</v>
      </c>
      <c r="B14" s="103">
        <v>4</v>
      </c>
      <c r="C14" s="34"/>
      <c r="D14" s="44">
        <f t="shared" si="0"/>
        <v>4</v>
      </c>
      <c r="E14" s="44">
        <f t="shared" si="1"/>
        <v>0</v>
      </c>
      <c r="F14" s="47" t="s">
        <v>165</v>
      </c>
      <c r="G14" s="47" t="s">
        <v>166</v>
      </c>
      <c r="H14" s="47" t="s">
        <v>17</v>
      </c>
      <c r="I14" s="49" t="s">
        <v>182</v>
      </c>
      <c r="J14" s="9" t="s">
        <v>167</v>
      </c>
      <c r="K14" s="9">
        <f>VLOOKUP(J14,'Piano conti'!D:E,2,FALSE)</f>
        <v>2601</v>
      </c>
      <c r="L14" s="47">
        <v>2</v>
      </c>
      <c r="M14" s="47"/>
      <c r="P14" s="48"/>
    </row>
    <row r="15" spans="1:16" s="45" customFormat="1" x14ac:dyDescent="0.25">
      <c r="A15" s="43">
        <v>42770</v>
      </c>
      <c r="B15" s="34">
        <v>-3.5</v>
      </c>
      <c r="C15" s="34"/>
      <c r="D15" s="44">
        <f t="shared" si="0"/>
        <v>0</v>
      </c>
      <c r="E15" s="44">
        <f t="shared" si="1"/>
        <v>-3.5</v>
      </c>
      <c r="F15" s="47" t="s">
        <v>6</v>
      </c>
      <c r="G15" s="47" t="s">
        <v>187</v>
      </c>
      <c r="H15" s="47" t="s">
        <v>199</v>
      </c>
      <c r="I15" s="47" t="s">
        <v>233</v>
      </c>
      <c r="J15" s="9" t="s">
        <v>142</v>
      </c>
      <c r="K15" s="9">
        <f>VLOOKUP(J15,'Piano conti'!D:E,2,FALSE)</f>
        <v>1303</v>
      </c>
      <c r="L15" s="47"/>
      <c r="M15" s="47"/>
      <c r="P15" s="48"/>
    </row>
    <row r="16" spans="1:16" s="45" customFormat="1" x14ac:dyDescent="0.25">
      <c r="A16" s="43">
        <v>42772</v>
      </c>
      <c r="B16" s="34">
        <v>50</v>
      </c>
      <c r="C16" s="34"/>
      <c r="D16" s="44">
        <f t="shared" si="0"/>
        <v>50</v>
      </c>
      <c r="E16" s="44">
        <f t="shared" si="1"/>
        <v>0</v>
      </c>
      <c r="F16" s="47" t="s">
        <v>6</v>
      </c>
      <c r="G16" s="47" t="s">
        <v>187</v>
      </c>
      <c r="H16" s="47" t="s">
        <v>180</v>
      </c>
      <c r="I16" s="49" t="s">
        <v>162</v>
      </c>
      <c r="J16" s="9" t="s">
        <v>149</v>
      </c>
      <c r="K16" s="9">
        <f>VLOOKUP(J16,'Piano conti'!D:E,2,FALSE)</f>
        <v>2301</v>
      </c>
      <c r="L16" s="47"/>
      <c r="M16" s="47"/>
      <c r="P16" s="48"/>
    </row>
    <row r="17" spans="1:16" s="45" customFormat="1" x14ac:dyDescent="0.25">
      <c r="A17" s="104">
        <v>42773</v>
      </c>
      <c r="B17" s="44">
        <f>-248.19-9.93-56.78+49.64</f>
        <v>-265.26</v>
      </c>
      <c r="C17" s="44"/>
      <c r="D17" s="44">
        <f t="shared" si="0"/>
        <v>0</v>
      </c>
      <c r="E17" s="44">
        <f t="shared" si="1"/>
        <v>-265.26</v>
      </c>
      <c r="F17" s="47" t="s">
        <v>7</v>
      </c>
      <c r="G17" s="9" t="s">
        <v>14</v>
      </c>
      <c r="H17" s="9" t="s">
        <v>16</v>
      </c>
      <c r="I17" s="36" t="s">
        <v>192</v>
      </c>
      <c r="J17" s="9" t="s">
        <v>81</v>
      </c>
      <c r="K17" s="9">
        <f>VLOOKUP(J17,'Piano conti'!D:E,2,FALSE)</f>
        <v>1206</v>
      </c>
      <c r="L17" s="47">
        <v>3</v>
      </c>
      <c r="M17" s="47"/>
      <c r="P17" s="48"/>
    </row>
    <row r="18" spans="1:16" s="45" customFormat="1" x14ac:dyDescent="0.25">
      <c r="A18" s="104">
        <v>42773</v>
      </c>
      <c r="B18" s="44">
        <v>-1</v>
      </c>
      <c r="C18" s="44"/>
      <c r="D18" s="44">
        <f t="shared" si="0"/>
        <v>0</v>
      </c>
      <c r="E18" s="44">
        <f t="shared" si="1"/>
        <v>-1</v>
      </c>
      <c r="F18" s="47" t="s">
        <v>7</v>
      </c>
      <c r="G18" s="9" t="s">
        <v>14</v>
      </c>
      <c r="H18" s="47" t="s">
        <v>9</v>
      </c>
      <c r="I18" s="49" t="s">
        <v>160</v>
      </c>
      <c r="J18" s="9" t="s">
        <v>91</v>
      </c>
      <c r="K18" s="9">
        <f>VLOOKUP(J18,'Piano conti'!D:E,2,FALSE)</f>
        <v>1401</v>
      </c>
      <c r="L18" s="47">
        <v>3</v>
      </c>
      <c r="M18" s="47"/>
      <c r="P18" s="48"/>
    </row>
    <row r="19" spans="1:16" s="45" customFormat="1" x14ac:dyDescent="0.25">
      <c r="A19" s="14">
        <v>42773</v>
      </c>
      <c r="B19" s="42">
        <v>-49.64</v>
      </c>
      <c r="C19" s="42"/>
      <c r="D19" s="12">
        <f t="shared" si="0"/>
        <v>0</v>
      </c>
      <c r="E19" s="12">
        <f t="shared" si="1"/>
        <v>-49.64</v>
      </c>
      <c r="F19" s="9" t="s">
        <v>7</v>
      </c>
      <c r="G19" s="9" t="s">
        <v>14</v>
      </c>
      <c r="H19" s="9" t="s">
        <v>56</v>
      </c>
      <c r="I19" s="36" t="s">
        <v>193</v>
      </c>
      <c r="J19" s="9" t="s">
        <v>139</v>
      </c>
      <c r="K19" s="9">
        <f>VLOOKUP(J19,'Piano conti'!D:E,2,FALSE)</f>
        <v>1502</v>
      </c>
      <c r="L19" s="47">
        <v>3</v>
      </c>
      <c r="M19" s="9"/>
      <c r="P19" s="48"/>
    </row>
    <row r="20" spans="1:16" s="45" customFormat="1" x14ac:dyDescent="0.25">
      <c r="A20" s="14">
        <v>42773</v>
      </c>
      <c r="B20" s="42">
        <v>-203.03</v>
      </c>
      <c r="C20" s="42"/>
      <c r="D20" s="12">
        <f t="shared" si="0"/>
        <v>0</v>
      </c>
      <c r="E20" s="12">
        <f t="shared" si="1"/>
        <v>-203.03</v>
      </c>
      <c r="F20" s="9" t="s">
        <v>7</v>
      </c>
      <c r="G20" s="9" t="s">
        <v>14</v>
      </c>
      <c r="H20" s="9" t="s">
        <v>56</v>
      </c>
      <c r="I20" s="36" t="s">
        <v>198</v>
      </c>
      <c r="J20" s="9" t="s">
        <v>139</v>
      </c>
      <c r="K20" s="9">
        <f>VLOOKUP(J20,'Piano conti'!D:E,2,FALSE)</f>
        <v>1502</v>
      </c>
      <c r="L20" s="47">
        <v>3</v>
      </c>
      <c r="M20" s="9"/>
      <c r="P20" s="48"/>
    </row>
    <row r="21" spans="1:16" s="9" customFormat="1" x14ac:dyDescent="0.25">
      <c r="A21" s="43">
        <v>42794</v>
      </c>
      <c r="B21" s="34">
        <v>-1</v>
      </c>
      <c r="C21" s="34"/>
      <c r="D21" s="44">
        <f t="shared" si="0"/>
        <v>0</v>
      </c>
      <c r="E21" s="44">
        <f t="shared" si="1"/>
        <v>-1</v>
      </c>
      <c r="F21" s="47" t="s">
        <v>7</v>
      </c>
      <c r="G21" s="47" t="s">
        <v>14</v>
      </c>
      <c r="H21" s="47" t="s">
        <v>9</v>
      </c>
      <c r="I21" s="36" t="s">
        <v>191</v>
      </c>
      <c r="J21" s="9" t="s">
        <v>91</v>
      </c>
      <c r="K21" s="9">
        <f>VLOOKUP(J21,'Piano conti'!D:E,2,FALSE)</f>
        <v>1401</v>
      </c>
      <c r="L21" s="47"/>
      <c r="M21" s="47"/>
      <c r="P21" s="17"/>
    </row>
    <row r="22" spans="1:16" s="9" customFormat="1" x14ac:dyDescent="0.25">
      <c r="A22" s="50">
        <v>42794</v>
      </c>
      <c r="B22" s="34">
        <v>264</v>
      </c>
      <c r="C22" s="34"/>
      <c r="D22" s="44">
        <f t="shared" si="0"/>
        <v>264</v>
      </c>
      <c r="E22" s="44">
        <f t="shared" si="1"/>
        <v>0</v>
      </c>
      <c r="F22" s="47" t="s">
        <v>6</v>
      </c>
      <c r="G22" s="47" t="s">
        <v>186</v>
      </c>
      <c r="H22" s="47" t="s">
        <v>196</v>
      </c>
      <c r="I22" s="49" t="s">
        <v>162</v>
      </c>
      <c r="J22" s="9" t="s">
        <v>149</v>
      </c>
      <c r="K22" s="9">
        <f>VLOOKUP(J22,'Piano conti'!D:E,2,FALSE)</f>
        <v>2301</v>
      </c>
      <c r="L22" s="47"/>
      <c r="M22" s="47"/>
      <c r="P22" s="17"/>
    </row>
    <row r="23" spans="1:16" s="45" customFormat="1" x14ac:dyDescent="0.25">
      <c r="A23" s="50">
        <v>42812</v>
      </c>
      <c r="B23" s="44">
        <f>15+15</f>
        <v>30</v>
      </c>
      <c r="C23" s="44"/>
      <c r="D23" s="44">
        <f t="shared" si="0"/>
        <v>30</v>
      </c>
      <c r="E23" s="44">
        <f t="shared" si="1"/>
        <v>0</v>
      </c>
      <c r="F23" s="47" t="s">
        <v>6</v>
      </c>
      <c r="G23" s="102"/>
      <c r="H23" s="47" t="s">
        <v>17</v>
      </c>
      <c r="I23" s="49" t="s">
        <v>250</v>
      </c>
      <c r="J23" s="9" t="s">
        <v>67</v>
      </c>
      <c r="K23" s="9">
        <f>VLOOKUP(J23,'Piano conti'!D:E,2,FALSE)</f>
        <v>2000</v>
      </c>
      <c r="L23" s="47"/>
      <c r="M23" s="47"/>
      <c r="P23" s="48"/>
    </row>
    <row r="24" spans="1:16" s="45" customFormat="1" x14ac:dyDescent="0.25">
      <c r="A24" s="50">
        <v>42814</v>
      </c>
      <c r="B24" s="44">
        <v>50</v>
      </c>
      <c r="C24" s="34"/>
      <c r="D24" s="44">
        <f t="shared" si="0"/>
        <v>50</v>
      </c>
      <c r="E24" s="44">
        <f t="shared" si="1"/>
        <v>0</v>
      </c>
      <c r="F24" s="47" t="s">
        <v>6</v>
      </c>
      <c r="G24" s="47" t="s">
        <v>243</v>
      </c>
      <c r="H24" s="47" t="s">
        <v>180</v>
      </c>
      <c r="I24" s="49" t="s">
        <v>162</v>
      </c>
      <c r="J24" s="9" t="s">
        <v>149</v>
      </c>
      <c r="K24" s="9">
        <f>VLOOKUP(J24,'Piano conti'!D:E,2,FALSE)</f>
        <v>2301</v>
      </c>
      <c r="L24" s="47"/>
      <c r="M24" s="47"/>
      <c r="P24" s="48"/>
    </row>
    <row r="25" spans="1:16" s="45" customFormat="1" x14ac:dyDescent="0.25">
      <c r="A25" s="43">
        <v>42818</v>
      </c>
      <c r="B25" s="34">
        <v>-4.75</v>
      </c>
      <c r="C25" s="34"/>
      <c r="D25" s="44">
        <f t="shared" si="0"/>
        <v>0</v>
      </c>
      <c r="E25" s="44">
        <f t="shared" si="1"/>
        <v>-4.75</v>
      </c>
      <c r="F25" s="47" t="s">
        <v>6</v>
      </c>
      <c r="G25" s="47" t="s">
        <v>14</v>
      </c>
      <c r="H25" s="47" t="s">
        <v>201</v>
      </c>
      <c r="I25" s="49" t="s">
        <v>202</v>
      </c>
      <c r="J25" s="9" t="s">
        <v>131</v>
      </c>
      <c r="K25" s="9">
        <f>VLOOKUP(J25,'Piano conti'!D:E,2,FALSE)</f>
        <v>1202</v>
      </c>
      <c r="L25" s="47"/>
      <c r="M25" s="47"/>
      <c r="P25" s="48"/>
    </row>
    <row r="26" spans="1:16" s="47" customFormat="1" x14ac:dyDescent="0.25">
      <c r="A26" s="50">
        <v>42820</v>
      </c>
      <c r="B26" s="34">
        <v>-10.6</v>
      </c>
      <c r="C26" s="34"/>
      <c r="D26" s="44">
        <f t="shared" si="0"/>
        <v>0</v>
      </c>
      <c r="E26" s="44">
        <f t="shared" si="1"/>
        <v>-10.6</v>
      </c>
      <c r="F26" s="47" t="s">
        <v>6</v>
      </c>
      <c r="G26" s="47" t="s">
        <v>186</v>
      </c>
      <c r="H26" s="47" t="s">
        <v>53</v>
      </c>
      <c r="I26" s="49" t="s">
        <v>219</v>
      </c>
      <c r="J26" s="9" t="s">
        <v>136</v>
      </c>
      <c r="K26" s="9">
        <f>VLOOKUP(J26,'Piano conti'!D:E,2,FALSE)</f>
        <v>1302</v>
      </c>
      <c r="L26" s="47">
        <v>4</v>
      </c>
      <c r="P26" s="118"/>
    </row>
    <row r="27" spans="1:16" s="45" customFormat="1" x14ac:dyDescent="0.25">
      <c r="A27" s="50">
        <v>42820</v>
      </c>
      <c r="B27" s="44">
        <v>-16.72</v>
      </c>
      <c r="C27" s="44"/>
      <c r="D27" s="44">
        <f t="shared" si="0"/>
        <v>0</v>
      </c>
      <c r="E27" s="44">
        <f t="shared" si="1"/>
        <v>-16.72</v>
      </c>
      <c r="F27" s="47" t="s">
        <v>6</v>
      </c>
      <c r="G27" s="47" t="s">
        <v>244</v>
      </c>
      <c r="H27" s="47" t="s">
        <v>53</v>
      </c>
      <c r="I27" s="49" t="s">
        <v>245</v>
      </c>
      <c r="J27" s="9" t="s">
        <v>136</v>
      </c>
      <c r="K27" s="9">
        <f>VLOOKUP(J27,'Piano conti'!D:E,2,FALSE)</f>
        <v>1302</v>
      </c>
      <c r="L27" s="47">
        <v>4</v>
      </c>
      <c r="M27" s="47"/>
      <c r="P27" s="48"/>
    </row>
    <row r="28" spans="1:16" s="45" customFormat="1" x14ac:dyDescent="0.25">
      <c r="A28" s="50">
        <v>42820</v>
      </c>
      <c r="B28" s="44">
        <v>-16.72</v>
      </c>
      <c r="C28" s="44"/>
      <c r="D28" s="44">
        <f t="shared" si="0"/>
        <v>0</v>
      </c>
      <c r="E28" s="44">
        <f t="shared" si="1"/>
        <v>-16.72</v>
      </c>
      <c r="F28" s="47" t="s">
        <v>6</v>
      </c>
      <c r="G28" s="47" t="s">
        <v>244</v>
      </c>
      <c r="H28" s="47" t="s">
        <v>18</v>
      </c>
      <c r="I28" s="49" t="s">
        <v>245</v>
      </c>
      <c r="J28" s="9" t="s">
        <v>136</v>
      </c>
      <c r="K28" s="9">
        <f>VLOOKUP(J28,'Piano conti'!D:E,2,FALSE)</f>
        <v>1302</v>
      </c>
      <c r="L28" s="47">
        <v>5</v>
      </c>
      <c r="M28" s="47"/>
      <c r="P28" s="48"/>
    </row>
    <row r="29" spans="1:16" s="45" customFormat="1" x14ac:dyDescent="0.25">
      <c r="A29" s="50">
        <v>42820</v>
      </c>
      <c r="B29" s="44">
        <v>-39.799999999999997</v>
      </c>
      <c r="C29" s="44"/>
      <c r="D29" s="44">
        <f t="shared" si="0"/>
        <v>0</v>
      </c>
      <c r="E29" s="44">
        <f t="shared" si="1"/>
        <v>-39.799999999999997</v>
      </c>
      <c r="F29" s="47" t="s">
        <v>6</v>
      </c>
      <c r="G29" s="47" t="s">
        <v>207</v>
      </c>
      <c r="H29" s="47" t="s">
        <v>18</v>
      </c>
      <c r="I29" s="36" t="s">
        <v>219</v>
      </c>
      <c r="J29" s="9" t="s">
        <v>136</v>
      </c>
      <c r="K29" s="9">
        <f>VLOOKUP(J29,'Piano conti'!D:E,2,FALSE)</f>
        <v>1302</v>
      </c>
      <c r="L29" s="47">
        <v>5</v>
      </c>
      <c r="M29" s="47"/>
      <c r="P29" s="48"/>
    </row>
    <row r="30" spans="1:16" s="45" customFormat="1" x14ac:dyDescent="0.25">
      <c r="A30" s="14">
        <v>42825</v>
      </c>
      <c r="B30" s="42">
        <v>-1</v>
      </c>
      <c r="C30" s="42"/>
      <c r="D30" s="12">
        <f t="shared" si="0"/>
        <v>0</v>
      </c>
      <c r="E30" s="12">
        <f t="shared" si="1"/>
        <v>-1</v>
      </c>
      <c r="F30" s="9" t="s">
        <v>7</v>
      </c>
      <c r="G30" s="9" t="s">
        <v>14</v>
      </c>
      <c r="H30" s="9" t="s">
        <v>9</v>
      </c>
      <c r="I30" s="36" t="s">
        <v>188</v>
      </c>
      <c r="J30" s="9" t="s">
        <v>91</v>
      </c>
      <c r="K30" s="9">
        <f>VLOOKUP(J30,'Piano conti'!D:E,2,FALSE)</f>
        <v>1401</v>
      </c>
      <c r="L30" s="9">
        <v>6</v>
      </c>
      <c r="M30" s="9"/>
      <c r="P30" s="48"/>
    </row>
    <row r="31" spans="1:16" s="45" customFormat="1" x14ac:dyDescent="0.25">
      <c r="A31" s="43">
        <v>42825</v>
      </c>
      <c r="B31" s="34">
        <v>-1</v>
      </c>
      <c r="C31" s="34"/>
      <c r="D31" s="44">
        <f t="shared" si="0"/>
        <v>0</v>
      </c>
      <c r="E31" s="44">
        <f t="shared" si="1"/>
        <v>-1</v>
      </c>
      <c r="F31" s="47" t="s">
        <v>7</v>
      </c>
      <c r="G31" s="47" t="s">
        <v>14</v>
      </c>
      <c r="H31" s="47" t="s">
        <v>9</v>
      </c>
      <c r="I31" s="36" t="s">
        <v>191</v>
      </c>
      <c r="J31" s="9" t="s">
        <v>91</v>
      </c>
      <c r="K31" s="9">
        <f>VLOOKUP(J31,'Piano conti'!D:E,2,FALSE)</f>
        <v>1401</v>
      </c>
      <c r="L31" s="47" t="s">
        <v>246</v>
      </c>
      <c r="M31" s="47"/>
      <c r="P31" s="48"/>
    </row>
    <row r="32" spans="1:16" s="45" customFormat="1" x14ac:dyDescent="0.25">
      <c r="A32" s="50">
        <v>42825</v>
      </c>
      <c r="B32" s="103">
        <v>-0.49</v>
      </c>
      <c r="C32" s="34"/>
      <c r="D32" s="44">
        <f t="shared" si="0"/>
        <v>0</v>
      </c>
      <c r="E32" s="44">
        <f t="shared" si="1"/>
        <v>-0.49</v>
      </c>
      <c r="F32" s="45" t="s">
        <v>165</v>
      </c>
      <c r="G32" s="47" t="s">
        <v>166</v>
      </c>
      <c r="H32" s="47" t="s">
        <v>168</v>
      </c>
      <c r="I32" s="49" t="s">
        <v>169</v>
      </c>
      <c r="J32" s="9" t="s">
        <v>141</v>
      </c>
      <c r="K32" s="9">
        <f>VLOOKUP(J32,'Piano conti'!D:E,2,FALSE)</f>
        <v>1602</v>
      </c>
      <c r="L32" s="47">
        <v>7</v>
      </c>
      <c r="M32" s="9"/>
      <c r="P32" s="48"/>
    </row>
    <row r="33" spans="1:16" s="45" customFormat="1" x14ac:dyDescent="0.25">
      <c r="A33" s="14">
        <v>42825</v>
      </c>
      <c r="B33" s="42">
        <v>-100</v>
      </c>
      <c r="C33" s="42"/>
      <c r="D33" s="12">
        <f t="shared" si="0"/>
        <v>0</v>
      </c>
      <c r="E33" s="12">
        <f t="shared" si="1"/>
        <v>-100</v>
      </c>
      <c r="F33" s="9" t="s">
        <v>7</v>
      </c>
      <c r="G33" s="9" t="s">
        <v>44</v>
      </c>
      <c r="H33" s="9" t="s">
        <v>185</v>
      </c>
      <c r="I33" s="36" t="s">
        <v>194</v>
      </c>
      <c r="J33" s="9" t="s">
        <v>144</v>
      </c>
      <c r="K33" s="9">
        <f>VLOOKUP(J33,'Piano conti'!D:E,2,FALSE)</f>
        <v>1700</v>
      </c>
      <c r="L33" s="9">
        <v>6</v>
      </c>
      <c r="M33" s="9"/>
      <c r="P33" s="48"/>
    </row>
    <row r="34" spans="1:16" s="45" customFormat="1" x14ac:dyDescent="0.25">
      <c r="A34" s="50">
        <v>42825</v>
      </c>
      <c r="B34" s="103">
        <v>4</v>
      </c>
      <c r="C34" s="34"/>
      <c r="D34" s="44">
        <f t="shared" ref="D34:D65" si="2">MAX($B34,0)</f>
        <v>4</v>
      </c>
      <c r="E34" s="44">
        <f t="shared" ref="E34:E65" si="3">MIN($B34,0)</f>
        <v>0</v>
      </c>
      <c r="F34" s="47" t="s">
        <v>165</v>
      </c>
      <c r="G34" s="47" t="s">
        <v>166</v>
      </c>
      <c r="H34" s="47" t="s">
        <v>17</v>
      </c>
      <c r="I34" s="49" t="s">
        <v>215</v>
      </c>
      <c r="J34" s="9" t="s">
        <v>167</v>
      </c>
      <c r="K34" s="9">
        <f>VLOOKUP(J34,'Piano conti'!D:E,2,FALSE)</f>
        <v>2601</v>
      </c>
      <c r="L34" s="47">
        <v>7</v>
      </c>
      <c r="M34" s="47"/>
      <c r="P34" s="48"/>
    </row>
    <row r="35" spans="1:16" s="45" customFormat="1" x14ac:dyDescent="0.25">
      <c r="A35" s="43">
        <v>42828</v>
      </c>
      <c r="B35" s="44">
        <v>-1300</v>
      </c>
      <c r="C35" s="34"/>
      <c r="D35" s="44">
        <f t="shared" si="2"/>
        <v>0</v>
      </c>
      <c r="E35" s="44">
        <f t="shared" si="3"/>
        <v>-1300</v>
      </c>
      <c r="F35" s="47" t="s">
        <v>6</v>
      </c>
      <c r="G35" s="47" t="s">
        <v>14</v>
      </c>
      <c r="H35" s="47" t="s">
        <v>9</v>
      </c>
      <c r="I35" s="49" t="s">
        <v>190</v>
      </c>
      <c r="J35" s="9" t="s">
        <v>85</v>
      </c>
      <c r="K35" s="9">
        <f>VLOOKUP(J35,'Piano conti'!D:E,2,FALSE)</f>
        <v>1208</v>
      </c>
      <c r="L35" s="47">
        <v>8</v>
      </c>
      <c r="M35" s="47"/>
      <c r="P35" s="48"/>
    </row>
    <row r="36" spans="1:16" s="45" customFormat="1" x14ac:dyDescent="0.25">
      <c r="A36" s="43">
        <v>42828</v>
      </c>
      <c r="B36" s="44">
        <v>-1</v>
      </c>
      <c r="C36" s="34"/>
      <c r="D36" s="44">
        <f t="shared" si="2"/>
        <v>0</v>
      </c>
      <c r="E36" s="44">
        <f t="shared" si="3"/>
        <v>-1</v>
      </c>
      <c r="F36" s="47" t="s">
        <v>6</v>
      </c>
      <c r="G36" s="47" t="s">
        <v>14</v>
      </c>
      <c r="H36" s="47" t="s">
        <v>9</v>
      </c>
      <c r="I36" s="49" t="s">
        <v>209</v>
      </c>
      <c r="J36" s="9" t="s">
        <v>91</v>
      </c>
      <c r="K36" s="9">
        <f>VLOOKUP(J36,'Piano conti'!D:E,2,FALSE)</f>
        <v>1401</v>
      </c>
      <c r="L36" s="47">
        <v>8</v>
      </c>
      <c r="M36" s="47"/>
      <c r="P36" s="48"/>
    </row>
    <row r="37" spans="1:16" s="45" customFormat="1" x14ac:dyDescent="0.25">
      <c r="A37" s="43">
        <v>42828</v>
      </c>
      <c r="B37" s="34">
        <v>1300</v>
      </c>
      <c r="C37" s="34"/>
      <c r="D37" s="44">
        <f t="shared" si="2"/>
        <v>1300</v>
      </c>
      <c r="E37" s="44">
        <f t="shared" si="3"/>
        <v>0</v>
      </c>
      <c r="F37" s="47" t="s">
        <v>7</v>
      </c>
      <c r="G37" s="47" t="s">
        <v>14</v>
      </c>
      <c r="H37" s="47" t="s">
        <v>9</v>
      </c>
      <c r="I37" s="49" t="s">
        <v>190</v>
      </c>
      <c r="J37" s="9" t="s">
        <v>85</v>
      </c>
      <c r="K37" s="9">
        <f>VLOOKUP(J37,'Piano conti'!D:E,2,FALSE)</f>
        <v>1208</v>
      </c>
      <c r="L37" s="47">
        <v>8</v>
      </c>
      <c r="M37" s="47"/>
      <c r="P37" s="48"/>
    </row>
    <row r="38" spans="1:16" s="45" customFormat="1" x14ac:dyDescent="0.25">
      <c r="A38" s="50">
        <v>42830</v>
      </c>
      <c r="B38" s="34">
        <v>-1</v>
      </c>
      <c r="C38" s="44"/>
      <c r="D38" s="44">
        <f t="shared" si="2"/>
        <v>0</v>
      </c>
      <c r="E38" s="44">
        <f t="shared" si="3"/>
        <v>-1</v>
      </c>
      <c r="F38" s="47" t="s">
        <v>7</v>
      </c>
      <c r="G38" s="47" t="s">
        <v>14</v>
      </c>
      <c r="H38" s="47" t="s">
        <v>9</v>
      </c>
      <c r="I38" s="36" t="s">
        <v>189</v>
      </c>
      <c r="J38" s="9" t="s">
        <v>91</v>
      </c>
      <c r="K38" s="9">
        <f>VLOOKUP(J38,'Piano conti'!D:E,2,FALSE)</f>
        <v>1401</v>
      </c>
      <c r="L38" s="9" t="s">
        <v>229</v>
      </c>
      <c r="M38" s="47"/>
      <c r="P38" s="48"/>
    </row>
    <row r="39" spans="1:16" s="45" customFormat="1" x14ac:dyDescent="0.25">
      <c r="A39" s="50">
        <v>42830</v>
      </c>
      <c r="B39" s="44">
        <v>-40</v>
      </c>
      <c r="C39" s="44"/>
      <c r="D39" s="12">
        <f t="shared" si="2"/>
        <v>0</v>
      </c>
      <c r="E39" s="12">
        <f t="shared" si="3"/>
        <v>-40</v>
      </c>
      <c r="F39" s="9" t="s">
        <v>7</v>
      </c>
      <c r="G39" s="9" t="s">
        <v>44</v>
      </c>
      <c r="H39" s="9" t="s">
        <v>178</v>
      </c>
      <c r="I39" s="36" t="s">
        <v>176</v>
      </c>
      <c r="J39" s="9" t="s">
        <v>144</v>
      </c>
      <c r="K39" s="9">
        <f>VLOOKUP(J39,'Piano conti'!D:E,2,FALSE)</f>
        <v>1700</v>
      </c>
      <c r="L39" s="9" t="s">
        <v>229</v>
      </c>
      <c r="M39" s="47"/>
      <c r="P39" s="48"/>
    </row>
    <row r="40" spans="1:16" s="45" customFormat="1" x14ac:dyDescent="0.25">
      <c r="A40" s="43">
        <v>42838</v>
      </c>
      <c r="B40" s="34">
        <v>-30</v>
      </c>
      <c r="C40" s="34"/>
      <c r="D40" s="44">
        <f t="shared" si="2"/>
        <v>0</v>
      </c>
      <c r="E40" s="44">
        <f t="shared" si="3"/>
        <v>-30</v>
      </c>
      <c r="F40" s="47" t="s">
        <v>6</v>
      </c>
      <c r="G40" s="47" t="s">
        <v>200</v>
      </c>
      <c r="H40" s="47" t="s">
        <v>236</v>
      </c>
      <c r="I40" s="49" t="s">
        <v>235</v>
      </c>
      <c r="J40" s="9" t="s">
        <v>135</v>
      </c>
      <c r="K40" s="9">
        <f>VLOOKUP(J40,'Piano conti'!D:E,2,FALSE)</f>
        <v>1301</v>
      </c>
      <c r="L40" s="47"/>
      <c r="M40" s="47"/>
      <c r="P40" s="48"/>
    </row>
    <row r="41" spans="1:16" s="45" customFormat="1" x14ac:dyDescent="0.25">
      <c r="A41" s="43">
        <v>42838</v>
      </c>
      <c r="B41" s="34">
        <v>64</v>
      </c>
      <c r="C41" s="44"/>
      <c r="D41" s="44">
        <f t="shared" si="2"/>
        <v>64</v>
      </c>
      <c r="E41" s="44">
        <f t="shared" si="3"/>
        <v>0</v>
      </c>
      <c r="F41" s="47" t="s">
        <v>6</v>
      </c>
      <c r="G41" s="47" t="s">
        <v>200</v>
      </c>
      <c r="H41" s="47" t="s">
        <v>253</v>
      </c>
      <c r="I41" s="49" t="s">
        <v>162</v>
      </c>
      <c r="J41" s="9" t="s">
        <v>149</v>
      </c>
      <c r="K41" s="9">
        <f>VLOOKUP(J41,'Piano conti'!D:E,2,FALSE)</f>
        <v>2301</v>
      </c>
      <c r="L41" s="9"/>
      <c r="M41" s="47"/>
      <c r="P41" s="48"/>
    </row>
    <row r="42" spans="1:16" s="45" customFormat="1" x14ac:dyDescent="0.25">
      <c r="A42" s="50">
        <v>42844</v>
      </c>
      <c r="B42" s="34">
        <v>200</v>
      </c>
      <c r="C42" s="44"/>
      <c r="D42" s="44">
        <f t="shared" si="2"/>
        <v>200</v>
      </c>
      <c r="E42" s="44">
        <f t="shared" si="3"/>
        <v>0</v>
      </c>
      <c r="F42" s="47" t="s">
        <v>6</v>
      </c>
      <c r="G42" s="47" t="s">
        <v>204</v>
      </c>
      <c r="H42" s="47" t="s">
        <v>205</v>
      </c>
      <c r="I42" s="49" t="s">
        <v>224</v>
      </c>
      <c r="J42" s="9" t="s">
        <v>167</v>
      </c>
      <c r="K42" s="9">
        <f>VLOOKUP(J42,'Piano conti'!D:E,2,FALSE)</f>
        <v>2601</v>
      </c>
      <c r="L42" s="47"/>
      <c r="M42" s="47"/>
      <c r="P42" s="48"/>
    </row>
    <row r="43" spans="1:16" s="45" customFormat="1" x14ac:dyDescent="0.25">
      <c r="A43" s="43">
        <v>42847</v>
      </c>
      <c r="B43" s="34">
        <v>-38</v>
      </c>
      <c r="C43" s="34"/>
      <c r="D43" s="44">
        <f t="shared" si="2"/>
        <v>0</v>
      </c>
      <c r="E43" s="44">
        <f t="shared" si="3"/>
        <v>-38</v>
      </c>
      <c r="F43" s="47" t="s">
        <v>6</v>
      </c>
      <c r="G43" s="47" t="s">
        <v>208</v>
      </c>
      <c r="H43" s="47" t="s">
        <v>163</v>
      </c>
      <c r="I43" s="49" t="s">
        <v>234</v>
      </c>
      <c r="J43" s="9" t="s">
        <v>142</v>
      </c>
      <c r="K43" s="9">
        <f>VLOOKUP(J43,'Piano conti'!D:E,2,FALSE)</f>
        <v>1303</v>
      </c>
      <c r="L43" s="47"/>
      <c r="M43" s="47"/>
      <c r="P43" s="48"/>
    </row>
    <row r="44" spans="1:16" s="45" customFormat="1" x14ac:dyDescent="0.25">
      <c r="A44" s="43">
        <v>42847</v>
      </c>
      <c r="B44" s="44">
        <f>10+25+5+10</f>
        <v>50</v>
      </c>
      <c r="C44" s="34"/>
      <c r="D44" s="44">
        <f t="shared" si="2"/>
        <v>50</v>
      </c>
      <c r="E44" s="44">
        <f t="shared" si="3"/>
        <v>0</v>
      </c>
      <c r="F44" s="47" t="s">
        <v>6</v>
      </c>
      <c r="G44" s="47" t="s">
        <v>208</v>
      </c>
      <c r="H44" s="47" t="s">
        <v>17</v>
      </c>
      <c r="I44" s="49" t="s">
        <v>254</v>
      </c>
      <c r="J44" s="9" t="s">
        <v>67</v>
      </c>
      <c r="K44" s="9">
        <f>VLOOKUP(J44,'Piano conti'!D:E,2,FALSE)</f>
        <v>2000</v>
      </c>
      <c r="L44" s="47">
        <v>9</v>
      </c>
      <c r="M44" s="47"/>
      <c r="P44" s="48"/>
    </row>
    <row r="45" spans="1:16" s="45" customFormat="1" x14ac:dyDescent="0.25">
      <c r="A45" s="43">
        <v>42847</v>
      </c>
      <c r="B45" s="44">
        <f>7.5+20+15+10</f>
        <v>52.5</v>
      </c>
      <c r="C45" s="34"/>
      <c r="D45" s="44">
        <f t="shared" si="2"/>
        <v>52.5</v>
      </c>
      <c r="E45" s="44">
        <f t="shared" si="3"/>
        <v>0</v>
      </c>
      <c r="F45" s="47" t="s">
        <v>6</v>
      </c>
      <c r="G45" s="47" t="s">
        <v>208</v>
      </c>
      <c r="H45" s="47" t="s">
        <v>17</v>
      </c>
      <c r="I45" s="49" t="s">
        <v>162</v>
      </c>
      <c r="J45" s="9" t="s">
        <v>149</v>
      </c>
      <c r="K45" s="9">
        <f>VLOOKUP(J45,'Piano conti'!D:E,2,FALSE)</f>
        <v>2301</v>
      </c>
      <c r="L45" s="47">
        <v>9</v>
      </c>
      <c r="M45" s="47"/>
      <c r="P45" s="48"/>
    </row>
    <row r="46" spans="1:16" s="45" customFormat="1" x14ac:dyDescent="0.25">
      <c r="A46" s="50">
        <v>42886</v>
      </c>
      <c r="B46" s="103">
        <v>-0.49</v>
      </c>
      <c r="C46" s="34"/>
      <c r="D46" s="44">
        <f t="shared" si="2"/>
        <v>0</v>
      </c>
      <c r="E46" s="44">
        <f t="shared" si="3"/>
        <v>-0.49</v>
      </c>
      <c r="F46" s="45" t="s">
        <v>165</v>
      </c>
      <c r="G46" s="47" t="s">
        <v>166</v>
      </c>
      <c r="H46" s="47" t="s">
        <v>168</v>
      </c>
      <c r="I46" s="49" t="s">
        <v>169</v>
      </c>
      <c r="J46" s="9" t="s">
        <v>141</v>
      </c>
      <c r="K46" s="9">
        <f>VLOOKUP(J46,'Piano conti'!D:E,2,FALSE)</f>
        <v>1602</v>
      </c>
      <c r="L46" s="47">
        <v>10</v>
      </c>
      <c r="M46" s="9"/>
      <c r="P46" s="48"/>
    </row>
    <row r="47" spans="1:16" s="45" customFormat="1" x14ac:dyDescent="0.25">
      <c r="A47" s="50">
        <v>42886</v>
      </c>
      <c r="B47" s="103">
        <v>4</v>
      </c>
      <c r="C47" s="34"/>
      <c r="D47" s="44">
        <f t="shared" si="2"/>
        <v>4</v>
      </c>
      <c r="E47" s="44">
        <f t="shared" si="3"/>
        <v>0</v>
      </c>
      <c r="F47" s="47" t="s">
        <v>165</v>
      </c>
      <c r="G47" s="47" t="s">
        <v>166</v>
      </c>
      <c r="H47" s="47" t="s">
        <v>17</v>
      </c>
      <c r="I47" s="49" t="s">
        <v>216</v>
      </c>
      <c r="J47" s="9" t="s">
        <v>167</v>
      </c>
      <c r="K47" s="9">
        <f>VLOOKUP(J47,'Piano conti'!D:E,2,FALSE)</f>
        <v>2601</v>
      </c>
      <c r="L47" s="47">
        <v>10</v>
      </c>
      <c r="M47" s="47"/>
      <c r="P47" s="48"/>
    </row>
    <row r="48" spans="1:16" s="45" customFormat="1" x14ac:dyDescent="0.25">
      <c r="A48" s="50">
        <v>42903</v>
      </c>
      <c r="B48" s="44">
        <v>-203.6</v>
      </c>
      <c r="C48" s="44"/>
      <c r="D48" s="44">
        <f t="shared" si="2"/>
        <v>0</v>
      </c>
      <c r="E48" s="44">
        <f t="shared" si="3"/>
        <v>-203.6</v>
      </c>
      <c r="F48" s="47" t="s">
        <v>6</v>
      </c>
      <c r="G48" s="47" t="s">
        <v>237</v>
      </c>
      <c r="H48" s="47" t="s">
        <v>210</v>
      </c>
      <c r="I48" s="49" t="s">
        <v>222</v>
      </c>
      <c r="J48" s="9" t="s">
        <v>135</v>
      </c>
      <c r="K48" s="9">
        <f>VLOOKUP(J48,'Piano conti'!D:E,2,FALSE)</f>
        <v>1301</v>
      </c>
      <c r="L48" s="47" t="s">
        <v>246</v>
      </c>
      <c r="M48" s="47"/>
      <c r="P48" s="48"/>
    </row>
    <row r="49" spans="1:16" s="45" customFormat="1" x14ac:dyDescent="0.25">
      <c r="A49" s="43">
        <v>42903</v>
      </c>
      <c r="B49" s="34">
        <v>-37</v>
      </c>
      <c r="C49" s="34"/>
      <c r="D49" s="44">
        <f t="shared" si="2"/>
        <v>0</v>
      </c>
      <c r="E49" s="44">
        <f t="shared" si="3"/>
        <v>-37</v>
      </c>
      <c r="F49" s="47" t="s">
        <v>6</v>
      </c>
      <c r="G49" s="47" t="s">
        <v>237</v>
      </c>
      <c r="H49" s="47" t="s">
        <v>213</v>
      </c>
      <c r="I49" s="49" t="s">
        <v>214</v>
      </c>
      <c r="J49" s="9" t="s">
        <v>142</v>
      </c>
      <c r="K49" s="9">
        <f>VLOOKUP(J49,'Piano conti'!D:E,2,FALSE)</f>
        <v>1303</v>
      </c>
      <c r="L49" s="47" t="s">
        <v>246</v>
      </c>
      <c r="M49" s="47"/>
      <c r="P49" s="48"/>
    </row>
    <row r="50" spans="1:16" s="45" customFormat="1" x14ac:dyDescent="0.25">
      <c r="A50" s="43">
        <v>42903</v>
      </c>
      <c r="B50" s="34">
        <v>-50</v>
      </c>
      <c r="C50" s="34"/>
      <c r="D50" s="44">
        <f t="shared" si="2"/>
        <v>0</v>
      </c>
      <c r="E50" s="44">
        <f t="shared" si="3"/>
        <v>-50</v>
      </c>
      <c r="F50" s="47" t="s">
        <v>6</v>
      </c>
      <c r="G50" s="47" t="s">
        <v>237</v>
      </c>
      <c r="H50" s="47" t="s">
        <v>211</v>
      </c>
      <c r="I50" s="49" t="s">
        <v>221</v>
      </c>
      <c r="J50" s="9" t="s">
        <v>137</v>
      </c>
      <c r="K50" s="9">
        <f>VLOOKUP(J50,'Piano conti'!D:E,2,FALSE)</f>
        <v>1304</v>
      </c>
      <c r="L50" s="47" t="s">
        <v>246</v>
      </c>
      <c r="M50" s="47"/>
      <c r="P50" s="48"/>
    </row>
    <row r="51" spans="1:16" s="45" customFormat="1" x14ac:dyDescent="0.25">
      <c r="A51" s="50">
        <v>42903</v>
      </c>
      <c r="B51" s="44">
        <v>35</v>
      </c>
      <c r="C51" s="44"/>
      <c r="D51" s="44">
        <f t="shared" si="2"/>
        <v>35</v>
      </c>
      <c r="E51" s="44">
        <f t="shared" si="3"/>
        <v>0</v>
      </c>
      <c r="F51" s="47" t="s">
        <v>6</v>
      </c>
      <c r="G51" s="47" t="s">
        <v>237</v>
      </c>
      <c r="H51" s="47" t="s">
        <v>17</v>
      </c>
      <c r="I51" s="49" t="s">
        <v>251</v>
      </c>
      <c r="J51" s="9" t="s">
        <v>67</v>
      </c>
      <c r="K51" s="9">
        <f>VLOOKUP(J51,'Piano conti'!D:E,2,FALSE)</f>
        <v>2000</v>
      </c>
      <c r="L51" s="47">
        <v>11</v>
      </c>
      <c r="M51" s="47"/>
      <c r="P51" s="48"/>
    </row>
    <row r="52" spans="1:16" s="45" customFormat="1" x14ac:dyDescent="0.25">
      <c r="A52" s="50">
        <v>42903</v>
      </c>
      <c r="B52" s="44">
        <f>10+10+10+20</f>
        <v>50</v>
      </c>
      <c r="C52" s="44"/>
      <c r="D52" s="44">
        <f t="shared" si="2"/>
        <v>50</v>
      </c>
      <c r="E52" s="44">
        <f t="shared" si="3"/>
        <v>0</v>
      </c>
      <c r="F52" s="47" t="s">
        <v>6</v>
      </c>
      <c r="G52" s="47" t="s">
        <v>237</v>
      </c>
      <c r="H52" s="47" t="s">
        <v>17</v>
      </c>
      <c r="I52" s="49" t="s">
        <v>162</v>
      </c>
      <c r="J52" s="9" t="s">
        <v>149</v>
      </c>
      <c r="K52" s="9">
        <f>VLOOKUP(J52,'Piano conti'!D:E,2,FALSE)</f>
        <v>2301</v>
      </c>
      <c r="L52" s="47">
        <v>11</v>
      </c>
      <c r="M52" s="47"/>
      <c r="P52" s="48"/>
    </row>
    <row r="53" spans="1:16" s="45" customFormat="1" x14ac:dyDescent="0.25">
      <c r="A53" s="50">
        <v>42921</v>
      </c>
      <c r="B53" s="34">
        <v>-1</v>
      </c>
      <c r="C53" s="44"/>
      <c r="D53" s="44">
        <f t="shared" si="2"/>
        <v>0</v>
      </c>
      <c r="E53" s="44">
        <f t="shared" si="3"/>
        <v>-1</v>
      </c>
      <c r="F53" s="47" t="s">
        <v>7</v>
      </c>
      <c r="G53" s="47" t="s">
        <v>14</v>
      </c>
      <c r="H53" s="47" t="s">
        <v>9</v>
      </c>
      <c r="I53" s="36" t="s">
        <v>160</v>
      </c>
      <c r="J53" s="9" t="s">
        <v>91</v>
      </c>
      <c r="K53" s="9">
        <f>VLOOKUP(J53,'Piano conti'!D:E,2,FALSE)</f>
        <v>1401</v>
      </c>
      <c r="L53" s="47">
        <v>12</v>
      </c>
      <c r="M53" s="47"/>
      <c r="P53" s="48"/>
    </row>
    <row r="54" spans="1:16" s="45" customFormat="1" x14ac:dyDescent="0.25">
      <c r="A54" s="43">
        <v>42921</v>
      </c>
      <c r="B54" s="34">
        <v>-75.900000000000006</v>
      </c>
      <c r="C54" s="34"/>
      <c r="D54" s="44">
        <f t="shared" si="2"/>
        <v>0</v>
      </c>
      <c r="E54" s="44">
        <f t="shared" si="3"/>
        <v>-75.900000000000006</v>
      </c>
      <c r="F54" s="47" t="s">
        <v>7</v>
      </c>
      <c r="G54" s="9" t="s">
        <v>14</v>
      </c>
      <c r="H54" s="9" t="s">
        <v>56</v>
      </c>
      <c r="I54" s="36" t="s">
        <v>223</v>
      </c>
      <c r="J54" s="9" t="s">
        <v>139</v>
      </c>
      <c r="K54" s="9">
        <f>VLOOKUP(J54,'Piano conti'!D:E,2,FALSE)</f>
        <v>1502</v>
      </c>
      <c r="L54" s="47">
        <v>12</v>
      </c>
      <c r="M54" s="47"/>
      <c r="P54" s="48"/>
    </row>
    <row r="55" spans="1:16" s="47" customFormat="1" x14ac:dyDescent="0.25">
      <c r="A55" s="43">
        <v>42930</v>
      </c>
      <c r="B55" s="34">
        <v>-50</v>
      </c>
      <c r="C55" s="34"/>
      <c r="D55" s="44">
        <f t="shared" si="2"/>
        <v>0</v>
      </c>
      <c r="E55" s="44">
        <f t="shared" si="3"/>
        <v>-50</v>
      </c>
      <c r="F55" s="47" t="s">
        <v>6</v>
      </c>
      <c r="G55" s="47" t="s">
        <v>208</v>
      </c>
      <c r="H55" s="47" t="s">
        <v>161</v>
      </c>
      <c r="I55" s="49" t="s">
        <v>221</v>
      </c>
      <c r="J55" s="9" t="s">
        <v>137</v>
      </c>
      <c r="K55" s="9">
        <f>VLOOKUP(J55,'Piano conti'!D:E,2,FALSE)</f>
        <v>1304</v>
      </c>
      <c r="L55" s="47">
        <v>13</v>
      </c>
      <c r="N55" s="45"/>
      <c r="P55" s="118"/>
    </row>
    <row r="56" spans="1:16" s="47" customFormat="1" x14ac:dyDescent="0.25">
      <c r="A56" s="43">
        <v>42930</v>
      </c>
      <c r="B56" s="34">
        <v>-50</v>
      </c>
      <c r="C56" s="34"/>
      <c r="D56" s="44">
        <f t="shared" si="2"/>
        <v>0</v>
      </c>
      <c r="E56" s="44">
        <f t="shared" si="3"/>
        <v>-50</v>
      </c>
      <c r="F56" s="47" t="s">
        <v>6</v>
      </c>
      <c r="G56" s="47" t="s">
        <v>238</v>
      </c>
      <c r="H56" s="47" t="s">
        <v>161</v>
      </c>
      <c r="I56" s="49" t="s">
        <v>221</v>
      </c>
      <c r="J56" s="9" t="s">
        <v>137</v>
      </c>
      <c r="K56" s="9">
        <f>VLOOKUP(J56,'Piano conti'!D:E,2,FALSE)</f>
        <v>1304</v>
      </c>
      <c r="L56" s="47">
        <v>13</v>
      </c>
      <c r="N56" s="45"/>
      <c r="P56" s="118"/>
    </row>
    <row r="57" spans="1:16" s="47" customFormat="1" x14ac:dyDescent="0.25">
      <c r="A57" s="50">
        <v>42930</v>
      </c>
      <c r="B57" s="44">
        <f>15*5</f>
        <v>75</v>
      </c>
      <c r="C57" s="44"/>
      <c r="D57" s="44">
        <f t="shared" si="2"/>
        <v>75</v>
      </c>
      <c r="E57" s="44">
        <f t="shared" si="3"/>
        <v>0</v>
      </c>
      <c r="F57" s="47" t="s">
        <v>6</v>
      </c>
      <c r="G57" s="47" t="s">
        <v>238</v>
      </c>
      <c r="H57" s="47" t="s">
        <v>17</v>
      </c>
      <c r="I57" s="49" t="s">
        <v>255</v>
      </c>
      <c r="J57" s="9" t="s">
        <v>67</v>
      </c>
      <c r="K57" s="9">
        <f>VLOOKUP(J57,'Piano conti'!D:E,2,FALSE)</f>
        <v>2000</v>
      </c>
      <c r="L57" s="47">
        <v>14</v>
      </c>
      <c r="P57" s="118"/>
    </row>
    <row r="58" spans="1:16" s="47" customFormat="1" x14ac:dyDescent="0.25">
      <c r="A58" s="50">
        <v>42930</v>
      </c>
      <c r="B58" s="44">
        <f>2*15</f>
        <v>30</v>
      </c>
      <c r="C58" s="44"/>
      <c r="D58" s="44">
        <f t="shared" si="2"/>
        <v>30</v>
      </c>
      <c r="E58" s="44">
        <f t="shared" si="3"/>
        <v>0</v>
      </c>
      <c r="F58" s="47" t="s">
        <v>6</v>
      </c>
      <c r="G58" s="47" t="s">
        <v>238</v>
      </c>
      <c r="H58" s="47" t="s">
        <v>17</v>
      </c>
      <c r="I58" s="49" t="s">
        <v>162</v>
      </c>
      <c r="J58" s="9" t="s">
        <v>149</v>
      </c>
      <c r="K58" s="9">
        <f>VLOOKUP(J58,'Piano conti'!D:E,2,FALSE)</f>
        <v>2301</v>
      </c>
      <c r="L58" s="47">
        <v>14</v>
      </c>
      <c r="P58" s="118"/>
    </row>
    <row r="59" spans="1:16" s="45" customFormat="1" x14ac:dyDescent="0.25">
      <c r="A59" s="50">
        <v>42947</v>
      </c>
      <c r="B59" s="44">
        <v>-12</v>
      </c>
      <c r="C59" s="44"/>
      <c r="D59" s="44">
        <f t="shared" si="2"/>
        <v>0</v>
      </c>
      <c r="E59" s="44">
        <f t="shared" si="3"/>
        <v>-12</v>
      </c>
      <c r="F59" s="47" t="s">
        <v>6</v>
      </c>
      <c r="G59" s="47" t="s">
        <v>208</v>
      </c>
      <c r="H59" s="47" t="s">
        <v>18</v>
      </c>
      <c r="I59" s="36" t="s">
        <v>219</v>
      </c>
      <c r="J59" s="9" t="s">
        <v>136</v>
      </c>
      <c r="K59" s="9">
        <f>VLOOKUP(J59,'Piano conti'!D:E,2,FALSE)</f>
        <v>1302</v>
      </c>
      <c r="L59" s="47">
        <v>16</v>
      </c>
      <c r="M59" s="47"/>
      <c r="P59" s="48"/>
    </row>
    <row r="60" spans="1:16" s="45" customFormat="1" x14ac:dyDescent="0.25">
      <c r="A60" s="50">
        <v>42947</v>
      </c>
      <c r="B60" s="44">
        <v>-9.1999999999999993</v>
      </c>
      <c r="C60" s="44"/>
      <c r="D60" s="44">
        <f t="shared" si="2"/>
        <v>0</v>
      </c>
      <c r="E60" s="44">
        <f t="shared" si="3"/>
        <v>-9.1999999999999993</v>
      </c>
      <c r="F60" s="47" t="s">
        <v>6</v>
      </c>
      <c r="G60" s="47" t="s">
        <v>241</v>
      </c>
      <c r="H60" s="47" t="s">
        <v>18</v>
      </c>
      <c r="I60" s="36" t="s">
        <v>219</v>
      </c>
      <c r="J60" s="9" t="s">
        <v>136</v>
      </c>
      <c r="K60" s="9">
        <f>VLOOKUP(J60,'Piano conti'!D:E,2,FALSE)</f>
        <v>1302</v>
      </c>
      <c r="L60" s="47">
        <v>16</v>
      </c>
      <c r="M60" s="47"/>
      <c r="P60" s="48"/>
    </row>
    <row r="61" spans="1:16" s="47" customFormat="1" x14ac:dyDescent="0.25">
      <c r="A61" s="50">
        <v>42947</v>
      </c>
      <c r="B61" s="103">
        <v>-0.52</v>
      </c>
      <c r="C61" s="34"/>
      <c r="D61" s="44">
        <f t="shared" si="2"/>
        <v>0</v>
      </c>
      <c r="E61" s="44">
        <f t="shared" si="3"/>
        <v>-0.52</v>
      </c>
      <c r="F61" s="45" t="s">
        <v>165</v>
      </c>
      <c r="G61" s="47" t="s">
        <v>166</v>
      </c>
      <c r="H61" s="47" t="s">
        <v>168</v>
      </c>
      <c r="I61" s="49" t="s">
        <v>169</v>
      </c>
      <c r="J61" s="9" t="s">
        <v>141</v>
      </c>
      <c r="K61" s="9">
        <f>VLOOKUP(J61,'Piano conti'!D:E,2,FALSE)</f>
        <v>1602</v>
      </c>
      <c r="L61" s="47">
        <v>15</v>
      </c>
      <c r="M61" s="9"/>
      <c r="P61" s="118"/>
    </row>
    <row r="62" spans="1:16" s="45" customFormat="1" x14ac:dyDescent="0.25">
      <c r="A62" s="50">
        <v>42947</v>
      </c>
      <c r="B62" s="103">
        <v>5</v>
      </c>
      <c r="C62" s="34"/>
      <c r="D62" s="44">
        <f t="shared" si="2"/>
        <v>5</v>
      </c>
      <c r="E62" s="44">
        <f t="shared" si="3"/>
        <v>0</v>
      </c>
      <c r="F62" s="47" t="s">
        <v>165</v>
      </c>
      <c r="G62" s="47" t="s">
        <v>166</v>
      </c>
      <c r="H62" s="47" t="s">
        <v>17</v>
      </c>
      <c r="I62" s="49" t="s">
        <v>217</v>
      </c>
      <c r="J62" s="9" t="s">
        <v>167</v>
      </c>
      <c r="K62" s="9">
        <f>VLOOKUP(J62,'Piano conti'!D:E,2,FALSE)</f>
        <v>2601</v>
      </c>
      <c r="L62" s="47">
        <v>15</v>
      </c>
      <c r="M62" s="47"/>
      <c r="P62" s="48"/>
    </row>
    <row r="63" spans="1:16" s="45" customFormat="1" x14ac:dyDescent="0.25">
      <c r="A63" s="50">
        <v>42975</v>
      </c>
      <c r="B63" s="44">
        <v>-3</v>
      </c>
      <c r="C63" s="34"/>
      <c r="D63" s="44">
        <f t="shared" si="2"/>
        <v>0</v>
      </c>
      <c r="E63" s="44">
        <f t="shared" si="3"/>
        <v>-3</v>
      </c>
      <c r="F63" s="47" t="s">
        <v>6</v>
      </c>
      <c r="G63" s="47" t="s">
        <v>164</v>
      </c>
      <c r="H63" s="47" t="s">
        <v>206</v>
      </c>
      <c r="I63" s="49" t="s">
        <v>172</v>
      </c>
      <c r="J63" s="9" t="s">
        <v>142</v>
      </c>
      <c r="K63" s="9">
        <f>VLOOKUP(J63,'Piano conti'!D:E,2,FALSE)</f>
        <v>1303</v>
      </c>
      <c r="L63" s="47"/>
      <c r="M63" s="47"/>
      <c r="P63" s="48"/>
    </row>
    <row r="64" spans="1:16" s="45" customFormat="1" x14ac:dyDescent="0.25">
      <c r="A64" s="50">
        <v>42975</v>
      </c>
      <c r="B64" s="34">
        <v>-23.68</v>
      </c>
      <c r="C64" s="34"/>
      <c r="D64" s="44">
        <f t="shared" si="2"/>
        <v>0</v>
      </c>
      <c r="E64" s="44">
        <f t="shared" si="3"/>
        <v>-23.68</v>
      </c>
      <c r="F64" s="47" t="s">
        <v>6</v>
      </c>
      <c r="G64" s="47" t="s">
        <v>164</v>
      </c>
      <c r="H64" s="47" t="s">
        <v>171</v>
      </c>
      <c r="I64" s="49" t="s">
        <v>172</v>
      </c>
      <c r="J64" s="9" t="s">
        <v>142</v>
      </c>
      <c r="K64" s="9">
        <f>VLOOKUP(J64,'Piano conti'!D:E,2,FALSE)</f>
        <v>1303</v>
      </c>
      <c r="L64" s="47"/>
      <c r="M64" s="47"/>
      <c r="P64" s="48"/>
    </row>
    <row r="65" spans="1:16" s="45" customFormat="1" x14ac:dyDescent="0.25">
      <c r="A65" s="43">
        <v>42975</v>
      </c>
      <c r="B65" s="34">
        <v>-9</v>
      </c>
      <c r="C65" s="34"/>
      <c r="D65" s="44">
        <f t="shared" si="2"/>
        <v>0</v>
      </c>
      <c r="E65" s="44">
        <f t="shared" si="3"/>
        <v>-9</v>
      </c>
      <c r="F65" s="47" t="s">
        <v>6</v>
      </c>
      <c r="G65" s="47" t="s">
        <v>164</v>
      </c>
      <c r="H65" s="47" t="s">
        <v>218</v>
      </c>
      <c r="I65" s="49" t="s">
        <v>172</v>
      </c>
      <c r="J65" s="9" t="s">
        <v>142</v>
      </c>
      <c r="K65" s="9">
        <f>VLOOKUP(J65,'Piano conti'!D:E,2,FALSE)</f>
        <v>1303</v>
      </c>
      <c r="L65" s="47"/>
      <c r="M65" s="47"/>
      <c r="P65" s="48"/>
    </row>
    <row r="66" spans="1:16" s="45" customFormat="1" x14ac:dyDescent="0.25">
      <c r="A66" s="50">
        <v>42978</v>
      </c>
      <c r="B66" s="44">
        <v>-72.34</v>
      </c>
      <c r="C66" s="44"/>
      <c r="D66" s="44">
        <f t="shared" ref="D66:D96" si="4">MAX($B66,0)</f>
        <v>0</v>
      </c>
      <c r="E66" s="44">
        <f t="shared" ref="E66:E96" si="5">MIN($B66,0)</f>
        <v>-72.34</v>
      </c>
      <c r="F66" s="47" t="s">
        <v>6</v>
      </c>
      <c r="G66" s="47" t="s">
        <v>207</v>
      </c>
      <c r="H66" s="47" t="s">
        <v>18</v>
      </c>
      <c r="I66" s="49" t="s">
        <v>242</v>
      </c>
      <c r="J66" s="9" t="s">
        <v>136</v>
      </c>
      <c r="K66" s="9">
        <f>VLOOKUP(J66,'Piano conti'!D:E,2,FALSE)</f>
        <v>1302</v>
      </c>
      <c r="L66" s="47"/>
      <c r="M66" s="47"/>
      <c r="P66" s="48"/>
    </row>
    <row r="67" spans="1:16" s="45" customFormat="1" x14ac:dyDescent="0.25">
      <c r="A67" s="43">
        <v>42979</v>
      </c>
      <c r="B67" s="34">
        <v>-14.05</v>
      </c>
      <c r="C67" s="34"/>
      <c r="D67" s="44">
        <f t="shared" si="4"/>
        <v>0</v>
      </c>
      <c r="E67" s="44">
        <f t="shared" si="5"/>
        <v>-14.05</v>
      </c>
      <c r="F67" s="47" t="s">
        <v>6</v>
      </c>
      <c r="G67" s="47" t="s">
        <v>164</v>
      </c>
      <c r="H67" s="47" t="s">
        <v>174</v>
      </c>
      <c r="I67" s="49" t="s">
        <v>175</v>
      </c>
      <c r="J67" s="9" t="s">
        <v>142</v>
      </c>
      <c r="K67" s="9">
        <f>VLOOKUP(J67,'Piano conti'!D:E,2,FALSE)</f>
        <v>1303</v>
      </c>
      <c r="L67" s="47"/>
      <c r="M67" s="47"/>
      <c r="P67" s="48"/>
    </row>
    <row r="68" spans="1:16" s="47" customFormat="1" x14ac:dyDescent="0.25">
      <c r="A68" s="50">
        <v>42980</v>
      </c>
      <c r="B68" s="44">
        <v>5</v>
      </c>
      <c r="C68" s="44"/>
      <c r="D68" s="44">
        <f t="shared" si="4"/>
        <v>5</v>
      </c>
      <c r="E68" s="44">
        <f t="shared" si="5"/>
        <v>0</v>
      </c>
      <c r="F68" s="47" t="s">
        <v>6</v>
      </c>
      <c r="G68" s="47" t="s">
        <v>164</v>
      </c>
      <c r="H68" s="47" t="s">
        <v>17</v>
      </c>
      <c r="I68" s="49" t="s">
        <v>252</v>
      </c>
      <c r="J68" s="9" t="s">
        <v>67</v>
      </c>
      <c r="K68" s="9">
        <f>VLOOKUP(J68,'Piano conti'!D:E,2,FALSE)</f>
        <v>2000</v>
      </c>
      <c r="L68" s="47">
        <v>17</v>
      </c>
      <c r="P68" s="118"/>
    </row>
    <row r="69" spans="1:16" s="47" customFormat="1" x14ac:dyDescent="0.25">
      <c r="A69" s="50">
        <v>42980</v>
      </c>
      <c r="B69" s="44">
        <v>30</v>
      </c>
      <c r="C69" s="44"/>
      <c r="D69" s="44">
        <f t="shared" si="4"/>
        <v>30</v>
      </c>
      <c r="E69" s="44">
        <f t="shared" si="5"/>
        <v>0</v>
      </c>
      <c r="F69" s="47" t="s">
        <v>6</v>
      </c>
      <c r="G69" s="47" t="s">
        <v>164</v>
      </c>
      <c r="H69" s="47" t="s">
        <v>17</v>
      </c>
      <c r="I69" s="49" t="s">
        <v>264</v>
      </c>
      <c r="J69" s="9" t="s">
        <v>148</v>
      </c>
      <c r="K69" s="9">
        <f>VLOOKUP(J69,'Piano conti'!D:E,2,FALSE)</f>
        <v>2202</v>
      </c>
      <c r="L69" s="47">
        <v>17</v>
      </c>
      <c r="P69" s="118"/>
    </row>
    <row r="70" spans="1:16" s="45" customFormat="1" x14ac:dyDescent="0.25">
      <c r="A70" s="43">
        <v>42992</v>
      </c>
      <c r="B70" s="34">
        <v>-33.99</v>
      </c>
      <c r="C70" s="34"/>
      <c r="D70" s="44">
        <f t="shared" si="4"/>
        <v>0</v>
      </c>
      <c r="E70" s="44">
        <f t="shared" si="5"/>
        <v>-33.99</v>
      </c>
      <c r="F70" s="47" t="s">
        <v>7</v>
      </c>
      <c r="G70" s="9" t="s">
        <v>14</v>
      </c>
      <c r="H70" s="47" t="s">
        <v>230</v>
      </c>
      <c r="I70" s="49" t="s">
        <v>231</v>
      </c>
      <c r="J70" s="9" t="s">
        <v>85</v>
      </c>
      <c r="K70" s="9">
        <f>VLOOKUP(J70,'Piano conti'!D:E,2,FALSE)</f>
        <v>1208</v>
      </c>
      <c r="L70" s="47"/>
      <c r="M70" s="47"/>
      <c r="P70" s="48"/>
    </row>
    <row r="71" spans="1:16" s="45" customFormat="1" x14ac:dyDescent="0.25">
      <c r="A71" s="50">
        <v>43008</v>
      </c>
      <c r="B71" s="44">
        <f>-65.14+5+6.78-5-6.78</f>
        <v>-65.14</v>
      </c>
      <c r="C71" s="44"/>
      <c r="D71" s="44">
        <f t="shared" si="4"/>
        <v>0</v>
      </c>
      <c r="E71" s="44">
        <f t="shared" si="5"/>
        <v>-65.14</v>
      </c>
      <c r="F71" s="47" t="s">
        <v>6</v>
      </c>
      <c r="G71" s="47" t="s">
        <v>239</v>
      </c>
      <c r="H71" s="47" t="s">
        <v>18</v>
      </c>
      <c r="I71" s="36" t="s">
        <v>220</v>
      </c>
      <c r="J71" s="9" t="s">
        <v>136</v>
      </c>
      <c r="K71" s="9">
        <f>VLOOKUP(J71,'Piano conti'!D:E,2,FALSE)</f>
        <v>1302</v>
      </c>
      <c r="L71" s="47"/>
      <c r="M71" s="47"/>
      <c r="P71" s="48"/>
    </row>
    <row r="72" spans="1:16" s="45" customFormat="1" x14ac:dyDescent="0.25">
      <c r="A72" s="43">
        <v>43008</v>
      </c>
      <c r="B72" s="34">
        <v>-17.3</v>
      </c>
      <c r="C72" s="34"/>
      <c r="D72" s="44">
        <f t="shared" si="4"/>
        <v>0</v>
      </c>
      <c r="E72" s="44">
        <f t="shared" si="5"/>
        <v>-17.3</v>
      </c>
      <c r="F72" s="47" t="s">
        <v>6</v>
      </c>
      <c r="G72" s="47" t="s">
        <v>239</v>
      </c>
      <c r="H72" s="47" t="s">
        <v>53</v>
      </c>
      <c r="I72" s="49" t="s">
        <v>54</v>
      </c>
      <c r="J72" s="9" t="s">
        <v>136</v>
      </c>
      <c r="K72" s="9">
        <f>VLOOKUP(J72,'Piano conti'!D:E,2,FALSE)</f>
        <v>1302</v>
      </c>
      <c r="L72" s="47"/>
      <c r="M72" s="47"/>
      <c r="P72" s="48"/>
    </row>
    <row r="73" spans="1:16" s="45" customFormat="1" x14ac:dyDescent="0.25">
      <c r="A73" s="43">
        <v>43017</v>
      </c>
      <c r="B73" s="34">
        <v>50</v>
      </c>
      <c r="C73" s="34"/>
      <c r="D73" s="44">
        <f t="shared" si="4"/>
        <v>50</v>
      </c>
      <c r="E73" s="44">
        <f t="shared" si="5"/>
        <v>0</v>
      </c>
      <c r="F73" s="47" t="s">
        <v>7</v>
      </c>
      <c r="G73" s="9" t="s">
        <v>14</v>
      </c>
      <c r="H73" s="47" t="s">
        <v>240</v>
      </c>
      <c r="I73" s="49" t="s">
        <v>264</v>
      </c>
      <c r="J73" s="9" t="s">
        <v>148</v>
      </c>
      <c r="K73" s="9">
        <f>VLOOKUP(J73,'Piano conti'!D:E,2,FALSE)</f>
        <v>2202</v>
      </c>
      <c r="L73" s="47"/>
      <c r="M73" s="47"/>
      <c r="P73" s="48"/>
    </row>
    <row r="74" spans="1:16" s="45" customFormat="1" x14ac:dyDescent="0.25">
      <c r="A74" s="43">
        <v>43020</v>
      </c>
      <c r="B74" s="34">
        <v>5</v>
      </c>
      <c r="C74" s="34"/>
      <c r="D74" s="44">
        <f t="shared" si="4"/>
        <v>5</v>
      </c>
      <c r="E74" s="44">
        <f t="shared" si="5"/>
        <v>0</v>
      </c>
      <c r="F74" s="47" t="s">
        <v>6</v>
      </c>
      <c r="G74" s="9" t="s">
        <v>14</v>
      </c>
      <c r="H74" s="47" t="s">
        <v>17</v>
      </c>
      <c r="I74" s="49" t="s">
        <v>252</v>
      </c>
      <c r="J74" s="9" t="s">
        <v>67</v>
      </c>
      <c r="K74" s="9">
        <f>VLOOKUP(J74,'Piano conti'!D:E,2,FALSE)</f>
        <v>2000</v>
      </c>
      <c r="L74" s="47"/>
      <c r="M74" s="47"/>
      <c r="P74" s="48"/>
    </row>
    <row r="75" spans="1:16" s="45" customFormat="1" x14ac:dyDescent="0.25">
      <c r="A75" s="43">
        <v>43025</v>
      </c>
      <c r="B75" s="34">
        <v>-9.1999999999999993</v>
      </c>
      <c r="C75" s="34"/>
      <c r="D75" s="44">
        <f t="shared" si="4"/>
        <v>0</v>
      </c>
      <c r="E75" s="44">
        <f t="shared" si="5"/>
        <v>-9.1999999999999993</v>
      </c>
      <c r="F75" s="47" t="s">
        <v>6</v>
      </c>
      <c r="G75" s="47" t="s">
        <v>247</v>
      </c>
      <c r="H75" s="47" t="s">
        <v>18</v>
      </c>
      <c r="I75" s="49" t="s">
        <v>219</v>
      </c>
      <c r="J75" s="9" t="s">
        <v>136</v>
      </c>
      <c r="K75" s="9">
        <f>VLOOKUP(J75,'Piano conti'!D:E,2,FALSE)</f>
        <v>1302</v>
      </c>
      <c r="L75" s="47">
        <v>18</v>
      </c>
      <c r="M75" s="47"/>
      <c r="P75" s="48"/>
    </row>
    <row r="76" spans="1:16" s="45" customFormat="1" x14ac:dyDescent="0.25">
      <c r="A76" s="43">
        <v>43025</v>
      </c>
      <c r="B76" s="34">
        <v>-10</v>
      </c>
      <c r="C76" s="34"/>
      <c r="D76" s="44">
        <f t="shared" si="4"/>
        <v>0</v>
      </c>
      <c r="E76" s="44">
        <f t="shared" si="5"/>
        <v>-10</v>
      </c>
      <c r="F76" s="47" t="s">
        <v>6</v>
      </c>
      <c r="G76" s="47" t="s">
        <v>248</v>
      </c>
      <c r="H76" s="47" t="s">
        <v>18</v>
      </c>
      <c r="I76" s="49" t="s">
        <v>249</v>
      </c>
      <c r="J76" s="9" t="s">
        <v>136</v>
      </c>
      <c r="K76" s="9">
        <f>VLOOKUP(J76,'Piano conti'!D:E,2,FALSE)</f>
        <v>1302</v>
      </c>
      <c r="L76" s="47">
        <v>18</v>
      </c>
      <c r="M76" s="47"/>
      <c r="P76" s="48"/>
    </row>
    <row r="77" spans="1:16" s="45" customFormat="1" x14ac:dyDescent="0.25">
      <c r="A77" s="101">
        <v>43025</v>
      </c>
      <c r="B77" s="108">
        <v>-89</v>
      </c>
      <c r="C77" s="108"/>
      <c r="D77" s="108">
        <f t="shared" si="4"/>
        <v>0</v>
      </c>
      <c r="E77" s="108">
        <f t="shared" si="5"/>
        <v>-89</v>
      </c>
      <c r="F77" s="102" t="s">
        <v>6</v>
      </c>
      <c r="G77" s="1" t="s">
        <v>14</v>
      </c>
      <c r="H77" s="47" t="s">
        <v>269</v>
      </c>
      <c r="I77" s="49" t="s">
        <v>273</v>
      </c>
      <c r="J77" s="1" t="s">
        <v>137</v>
      </c>
      <c r="K77" s="1">
        <f>VLOOKUP(J77,'Piano conti'!D:E,2,FALSE)</f>
        <v>1304</v>
      </c>
      <c r="L77" s="102"/>
      <c r="M77" s="102" t="s">
        <v>270</v>
      </c>
      <c r="P77" s="48"/>
    </row>
    <row r="78" spans="1:16" s="45" customFormat="1" x14ac:dyDescent="0.25">
      <c r="A78" s="43">
        <v>43025</v>
      </c>
      <c r="B78" s="34">
        <v>-1</v>
      </c>
      <c r="C78" s="44"/>
      <c r="D78" s="44">
        <f t="shared" si="4"/>
        <v>0</v>
      </c>
      <c r="E78" s="44">
        <f t="shared" si="5"/>
        <v>-1</v>
      </c>
      <c r="F78" s="47" t="s">
        <v>7</v>
      </c>
      <c r="G78" s="47" t="s">
        <v>14</v>
      </c>
      <c r="H78" s="47" t="s">
        <v>9</v>
      </c>
      <c r="I78" s="36" t="s">
        <v>272</v>
      </c>
      <c r="J78" s="9" t="s">
        <v>91</v>
      </c>
      <c r="K78" s="9">
        <f>VLOOKUP(J78,'Piano conti'!D:E,2,FALSE)</f>
        <v>1401</v>
      </c>
      <c r="L78" s="47">
        <v>19</v>
      </c>
      <c r="M78" s="47"/>
      <c r="P78" s="48"/>
    </row>
    <row r="79" spans="1:16" s="45" customFormat="1" x14ac:dyDescent="0.25">
      <c r="A79" s="43">
        <v>43025</v>
      </c>
      <c r="B79" s="34">
        <v>-89</v>
      </c>
      <c r="C79" s="34"/>
      <c r="D79" s="44">
        <f t="shared" si="4"/>
        <v>0</v>
      </c>
      <c r="E79" s="44">
        <f t="shared" si="5"/>
        <v>-89</v>
      </c>
      <c r="F79" s="45" t="s">
        <v>7</v>
      </c>
      <c r="G79" s="1" t="s">
        <v>14</v>
      </c>
      <c r="H79" s="47" t="s">
        <v>269</v>
      </c>
      <c r="I79" s="49" t="s">
        <v>273</v>
      </c>
      <c r="J79" s="1" t="s">
        <v>137</v>
      </c>
      <c r="K79" s="1">
        <f>VLOOKUP(J79,'Piano conti'!D:E,2,FALSE)</f>
        <v>1304</v>
      </c>
      <c r="L79" s="47">
        <v>19</v>
      </c>
      <c r="M79" s="102" t="s">
        <v>271</v>
      </c>
      <c r="P79" s="48"/>
    </row>
    <row r="80" spans="1:16" s="45" customFormat="1" x14ac:dyDescent="0.25">
      <c r="A80" s="101">
        <v>43040</v>
      </c>
      <c r="B80" s="108">
        <v>-8</v>
      </c>
      <c r="C80" s="108"/>
      <c r="D80" s="108">
        <f t="shared" si="4"/>
        <v>0</v>
      </c>
      <c r="E80" s="108">
        <f t="shared" si="5"/>
        <v>-8</v>
      </c>
      <c r="F80" s="102" t="s">
        <v>6</v>
      </c>
      <c r="G80" s="102" t="s">
        <v>247</v>
      </c>
      <c r="H80" s="102" t="s">
        <v>18</v>
      </c>
      <c r="I80" s="154" t="s">
        <v>262</v>
      </c>
      <c r="J80" s="1" t="s">
        <v>136</v>
      </c>
      <c r="K80" s="9">
        <f>VLOOKUP(J80,'Piano conti'!D:E,2,FALSE)</f>
        <v>1302</v>
      </c>
      <c r="L80" s="47"/>
      <c r="M80" s="102" t="s">
        <v>274</v>
      </c>
      <c r="P80" s="48"/>
    </row>
    <row r="81" spans="1:16" s="45" customFormat="1" x14ac:dyDescent="0.25">
      <c r="A81" s="101">
        <v>43040</v>
      </c>
      <c r="B81" s="108">
        <v>-8</v>
      </c>
      <c r="C81" s="108"/>
      <c r="D81" s="108">
        <f t="shared" si="4"/>
        <v>0</v>
      </c>
      <c r="E81" s="108">
        <f t="shared" si="5"/>
        <v>-8</v>
      </c>
      <c r="F81" s="102" t="s">
        <v>6</v>
      </c>
      <c r="G81" s="102" t="s">
        <v>247</v>
      </c>
      <c r="H81" s="102" t="s">
        <v>53</v>
      </c>
      <c r="I81" s="154" t="s">
        <v>262</v>
      </c>
      <c r="J81" s="1" t="s">
        <v>136</v>
      </c>
      <c r="K81" s="9">
        <f>VLOOKUP(J81,'Piano conti'!D:E,2,FALSE)</f>
        <v>1302</v>
      </c>
      <c r="L81" s="47"/>
      <c r="M81" s="102" t="s">
        <v>274</v>
      </c>
      <c r="P81" s="48"/>
    </row>
    <row r="82" spans="1:16" s="45" customFormat="1" x14ac:dyDescent="0.25">
      <c r="A82" s="43">
        <v>43040</v>
      </c>
      <c r="B82" s="34">
        <v>83</v>
      </c>
      <c r="C82" s="34"/>
      <c r="D82" s="44">
        <f t="shared" si="4"/>
        <v>83</v>
      </c>
      <c r="E82" s="44">
        <f t="shared" si="5"/>
        <v>0</v>
      </c>
      <c r="F82" s="47" t="s">
        <v>6</v>
      </c>
      <c r="G82" s="47" t="s">
        <v>247</v>
      </c>
      <c r="H82" s="47" t="s">
        <v>256</v>
      </c>
      <c r="I82" s="49" t="s">
        <v>162</v>
      </c>
      <c r="J82" s="9" t="s">
        <v>149</v>
      </c>
      <c r="K82" s="9">
        <f>VLOOKUP(J82,'Piano conti'!D:E,2,FALSE)</f>
        <v>2301</v>
      </c>
      <c r="L82" s="47"/>
      <c r="M82" s="47"/>
      <c r="P82" s="48"/>
    </row>
    <row r="83" spans="1:16" s="47" customFormat="1" x14ac:dyDescent="0.25">
      <c r="A83" s="14">
        <v>43046</v>
      </c>
      <c r="B83" s="44">
        <v>-20</v>
      </c>
      <c r="C83" s="44"/>
      <c r="D83" s="44">
        <f t="shared" si="4"/>
        <v>0</v>
      </c>
      <c r="E83" s="44">
        <f t="shared" si="5"/>
        <v>-20</v>
      </c>
      <c r="F83" s="47" t="s">
        <v>7</v>
      </c>
      <c r="G83" s="9" t="s">
        <v>14</v>
      </c>
      <c r="H83" s="9" t="s">
        <v>56</v>
      </c>
      <c r="I83" s="36" t="s">
        <v>181</v>
      </c>
      <c r="J83" s="9" t="s">
        <v>100</v>
      </c>
      <c r="K83" s="9">
        <f>VLOOKUP(J83,'Piano conti'!D:E,2,FALSE)</f>
        <v>1503</v>
      </c>
      <c r="L83" s="9">
        <v>20</v>
      </c>
      <c r="P83" s="118"/>
    </row>
    <row r="84" spans="1:16" s="47" customFormat="1" x14ac:dyDescent="0.25">
      <c r="A84" s="14">
        <v>43046</v>
      </c>
      <c r="B84" s="44">
        <v>-213.76</v>
      </c>
      <c r="C84" s="44"/>
      <c r="D84" s="44">
        <f t="shared" si="4"/>
        <v>0</v>
      </c>
      <c r="E84" s="44">
        <f t="shared" si="5"/>
        <v>-213.76</v>
      </c>
      <c r="F84" s="47" t="s">
        <v>7</v>
      </c>
      <c r="G84" s="9" t="s">
        <v>14</v>
      </c>
      <c r="H84" s="9" t="s">
        <v>16</v>
      </c>
      <c r="I84" s="36" t="s">
        <v>266</v>
      </c>
      <c r="J84" s="9" t="s">
        <v>81</v>
      </c>
      <c r="K84" s="9">
        <f>VLOOKUP(J84,'[1]Piano conti'!D:E,2,FALSE)</f>
        <v>1206</v>
      </c>
      <c r="L84" s="47">
        <v>20</v>
      </c>
      <c r="P84" s="118"/>
    </row>
    <row r="85" spans="1:16" s="47" customFormat="1" x14ac:dyDescent="0.25">
      <c r="A85" s="14">
        <v>43046</v>
      </c>
      <c r="B85" s="44">
        <v>-1</v>
      </c>
      <c r="C85" s="44"/>
      <c r="D85" s="44">
        <f t="shared" si="4"/>
        <v>0</v>
      </c>
      <c r="E85" s="44">
        <f t="shared" si="5"/>
        <v>-1</v>
      </c>
      <c r="F85" s="47" t="s">
        <v>7</v>
      </c>
      <c r="G85" s="47" t="s">
        <v>14</v>
      </c>
      <c r="H85" s="47" t="s">
        <v>9</v>
      </c>
      <c r="I85" s="36" t="s">
        <v>160</v>
      </c>
      <c r="J85" s="9" t="s">
        <v>91</v>
      </c>
      <c r="K85" s="9">
        <f>VLOOKUP(J85,'Piano conti'!D:E,2,FALSE)</f>
        <v>1401</v>
      </c>
      <c r="L85" s="47">
        <v>20</v>
      </c>
      <c r="P85" s="118"/>
    </row>
    <row r="86" spans="1:16" s="45" customFormat="1" x14ac:dyDescent="0.25">
      <c r="A86" s="50">
        <v>43067</v>
      </c>
      <c r="B86" s="44">
        <v>-335.5</v>
      </c>
      <c r="C86" s="44"/>
      <c r="D86" s="44">
        <f t="shared" si="4"/>
        <v>0</v>
      </c>
      <c r="E86" s="44">
        <f t="shared" si="5"/>
        <v>-335.5</v>
      </c>
      <c r="F86" s="47" t="s">
        <v>7</v>
      </c>
      <c r="G86" s="47" t="s">
        <v>14</v>
      </c>
      <c r="H86" s="9" t="s">
        <v>257</v>
      </c>
      <c r="I86" s="36" t="s">
        <v>258</v>
      </c>
      <c r="J86" s="9" t="s">
        <v>134</v>
      </c>
      <c r="K86" s="9">
        <f>VLOOKUP(J86,'Piano conti'!D:E,2,FALSE)</f>
        <v>1207</v>
      </c>
      <c r="L86" s="47">
        <v>21</v>
      </c>
      <c r="M86" s="102" t="s">
        <v>275</v>
      </c>
      <c r="P86" s="48"/>
    </row>
    <row r="87" spans="1:16" s="47" customFormat="1" x14ac:dyDescent="0.25">
      <c r="A87" s="50">
        <v>43067</v>
      </c>
      <c r="B87" s="44">
        <v>-1</v>
      </c>
      <c r="C87" s="44"/>
      <c r="D87" s="44">
        <f t="shared" si="4"/>
        <v>0</v>
      </c>
      <c r="E87" s="44">
        <f t="shared" si="5"/>
        <v>-1</v>
      </c>
      <c r="F87" s="47" t="s">
        <v>7</v>
      </c>
      <c r="G87" s="47" t="s">
        <v>14</v>
      </c>
      <c r="H87" s="47" t="s">
        <v>9</v>
      </c>
      <c r="I87" s="36" t="s">
        <v>279</v>
      </c>
      <c r="J87" s="9" t="s">
        <v>91</v>
      </c>
      <c r="K87" s="9">
        <f>VLOOKUP(J87,'Piano conti'!D:E,2,FALSE)</f>
        <v>1401</v>
      </c>
      <c r="L87" s="47">
        <v>21</v>
      </c>
      <c r="P87" s="118"/>
    </row>
    <row r="88" spans="1:16" s="45" customFormat="1" x14ac:dyDescent="0.25">
      <c r="A88" s="43">
        <v>43069</v>
      </c>
      <c r="B88" s="34">
        <v>21.9</v>
      </c>
      <c r="C88" s="34"/>
      <c r="D88" s="44">
        <f t="shared" si="4"/>
        <v>21.9</v>
      </c>
      <c r="E88" s="44">
        <f t="shared" si="5"/>
        <v>0</v>
      </c>
      <c r="F88" s="47" t="s">
        <v>7</v>
      </c>
      <c r="G88" s="47" t="s">
        <v>14</v>
      </c>
      <c r="H88" s="47" t="s">
        <v>17</v>
      </c>
      <c r="I88" s="154" t="s">
        <v>276</v>
      </c>
      <c r="J88" s="9" t="s">
        <v>167</v>
      </c>
      <c r="K88" s="9">
        <f>VLOOKUP(J88,'Piano conti'!D:E,2,FALSE)</f>
        <v>2601</v>
      </c>
      <c r="L88" s="47"/>
      <c r="M88" s="47"/>
      <c r="P88" s="48"/>
    </row>
    <row r="89" spans="1:16" s="47" customFormat="1" x14ac:dyDescent="0.25">
      <c r="A89" s="43">
        <v>43069</v>
      </c>
      <c r="B89" s="34">
        <v>-1</v>
      </c>
      <c r="C89" s="44"/>
      <c r="D89" s="44">
        <f t="shared" si="4"/>
        <v>0</v>
      </c>
      <c r="E89" s="44">
        <f t="shared" si="5"/>
        <v>-1</v>
      </c>
      <c r="F89" s="47" t="s">
        <v>7</v>
      </c>
      <c r="G89" s="47" t="s">
        <v>14</v>
      </c>
      <c r="H89" s="47" t="s">
        <v>9</v>
      </c>
      <c r="I89" s="36" t="s">
        <v>191</v>
      </c>
      <c r="J89" s="9" t="s">
        <v>91</v>
      </c>
      <c r="K89" s="9">
        <f>VLOOKUP(J89,'Piano conti'!D:E,2,FALSE)</f>
        <v>1401</v>
      </c>
      <c r="P89" s="118"/>
    </row>
    <row r="90" spans="1:16" s="45" customFormat="1" x14ac:dyDescent="0.25">
      <c r="A90" s="50">
        <v>43074</v>
      </c>
      <c r="B90" s="34">
        <v>-6.9</v>
      </c>
      <c r="C90" s="34"/>
      <c r="D90" s="44">
        <f t="shared" si="4"/>
        <v>0</v>
      </c>
      <c r="E90" s="44">
        <f t="shared" si="5"/>
        <v>-6.9</v>
      </c>
      <c r="F90" s="47" t="s">
        <v>165</v>
      </c>
      <c r="G90" s="9" t="s">
        <v>14</v>
      </c>
      <c r="H90" s="47" t="s">
        <v>280</v>
      </c>
      <c r="I90" s="154" t="s">
        <v>281</v>
      </c>
      <c r="J90" s="9" t="s">
        <v>131</v>
      </c>
      <c r="K90" s="9">
        <f>VLOOKUP(J90,'Piano conti'!D:E,2,FALSE)</f>
        <v>1202</v>
      </c>
      <c r="L90" s="47"/>
      <c r="M90" s="47"/>
      <c r="P90" s="48"/>
    </row>
    <row r="91" spans="1:16" s="45" customFormat="1" x14ac:dyDescent="0.25">
      <c r="A91" s="43">
        <v>43081</v>
      </c>
      <c r="B91" s="34">
        <v>300</v>
      </c>
      <c r="C91" s="34"/>
      <c r="D91" s="44">
        <f t="shared" si="4"/>
        <v>300</v>
      </c>
      <c r="E91" s="44">
        <f t="shared" si="5"/>
        <v>0</v>
      </c>
      <c r="F91" s="47" t="s">
        <v>7</v>
      </c>
      <c r="G91" s="47" t="s">
        <v>239</v>
      </c>
      <c r="H91" s="102" t="s">
        <v>277</v>
      </c>
      <c r="I91" s="102" t="s">
        <v>162</v>
      </c>
      <c r="J91" s="9" t="s">
        <v>149</v>
      </c>
      <c r="K91" s="9">
        <f>VLOOKUP(J91,'Piano conti'!D:E,2,FALSE)</f>
        <v>2301</v>
      </c>
      <c r="L91" s="47"/>
      <c r="M91" s="102" t="s">
        <v>271</v>
      </c>
      <c r="P91" s="48"/>
    </row>
    <row r="92" spans="1:16" s="45" customFormat="1" x14ac:dyDescent="0.25">
      <c r="A92" s="43">
        <v>43081</v>
      </c>
      <c r="B92" s="34">
        <f>60+15</f>
        <v>75</v>
      </c>
      <c r="C92" s="34"/>
      <c r="D92" s="44">
        <f t="shared" si="4"/>
        <v>75</v>
      </c>
      <c r="E92" s="44">
        <f t="shared" si="5"/>
        <v>0</v>
      </c>
      <c r="F92" s="47" t="s">
        <v>6</v>
      </c>
      <c r="G92" s="47" t="s">
        <v>14</v>
      </c>
      <c r="H92" s="47" t="s">
        <v>17</v>
      </c>
      <c r="I92" s="154" t="s">
        <v>276</v>
      </c>
      <c r="J92" s="9" t="s">
        <v>167</v>
      </c>
      <c r="K92" s="9">
        <f>VLOOKUP(J92,'Piano conti'!D:E,2,FALSE)</f>
        <v>2601</v>
      </c>
      <c r="L92" s="47"/>
      <c r="M92" s="47"/>
      <c r="P92" s="48"/>
    </row>
    <row r="93" spans="1:16" s="45" customFormat="1" x14ac:dyDescent="0.25">
      <c r="A93" s="43">
        <v>43089</v>
      </c>
      <c r="B93" s="34">
        <f>15+20+16+23+30</f>
        <v>104</v>
      </c>
      <c r="C93" s="34"/>
      <c r="D93" s="44">
        <f t="shared" si="4"/>
        <v>104</v>
      </c>
      <c r="E93" s="44">
        <f t="shared" si="5"/>
        <v>0</v>
      </c>
      <c r="F93" s="47" t="s">
        <v>6</v>
      </c>
      <c r="G93" s="47" t="s">
        <v>14</v>
      </c>
      <c r="H93" s="47" t="s">
        <v>17</v>
      </c>
      <c r="I93" s="154" t="s">
        <v>276</v>
      </c>
      <c r="J93" s="9" t="s">
        <v>167</v>
      </c>
      <c r="K93" s="9">
        <f>VLOOKUP(J93,'Piano conti'!D:E,2,FALSE)</f>
        <v>2601</v>
      </c>
      <c r="L93" s="47"/>
      <c r="M93" s="47"/>
      <c r="P93" s="48"/>
    </row>
    <row r="94" spans="1:16" s="47" customFormat="1" x14ac:dyDescent="0.25">
      <c r="A94" s="101">
        <v>43097</v>
      </c>
      <c r="B94" s="108">
        <v>-40</v>
      </c>
      <c r="C94" s="108"/>
      <c r="D94" s="108">
        <f t="shared" si="4"/>
        <v>0</v>
      </c>
      <c r="E94" s="108">
        <f t="shared" si="5"/>
        <v>-40</v>
      </c>
      <c r="F94" s="102" t="s">
        <v>7</v>
      </c>
      <c r="G94" s="102"/>
      <c r="H94" s="1" t="s">
        <v>56</v>
      </c>
      <c r="I94" s="154" t="s">
        <v>278</v>
      </c>
      <c r="J94" s="9" t="s">
        <v>139</v>
      </c>
      <c r="K94" s="1">
        <f>VLOOKUP(J94,'Piano conti'!D:E,2,FALSE)</f>
        <v>1502</v>
      </c>
      <c r="L94" s="102">
        <v>22</v>
      </c>
      <c r="M94" s="102" t="s">
        <v>275</v>
      </c>
      <c r="P94" s="118"/>
    </row>
    <row r="95" spans="1:16" s="47" customFormat="1" x14ac:dyDescent="0.25">
      <c r="A95" s="101">
        <v>43097</v>
      </c>
      <c r="B95" s="44">
        <v>-1</v>
      </c>
      <c r="C95" s="44"/>
      <c r="D95" s="44">
        <f t="shared" si="4"/>
        <v>0</v>
      </c>
      <c r="E95" s="44">
        <f t="shared" si="5"/>
        <v>-1</v>
      </c>
      <c r="F95" s="47" t="s">
        <v>7</v>
      </c>
      <c r="G95" s="47" t="s">
        <v>14</v>
      </c>
      <c r="H95" s="47" t="s">
        <v>9</v>
      </c>
      <c r="I95" s="36" t="s">
        <v>160</v>
      </c>
      <c r="J95" s="9" t="s">
        <v>91</v>
      </c>
      <c r="K95" s="9">
        <f>VLOOKUP(J95,'Piano conti'!D:E,2,FALSE)</f>
        <v>1401</v>
      </c>
      <c r="L95" s="47">
        <v>22</v>
      </c>
      <c r="P95" s="118"/>
    </row>
    <row r="96" spans="1:16" s="47" customFormat="1" x14ac:dyDescent="0.25">
      <c r="A96" s="43">
        <v>43100</v>
      </c>
      <c r="B96" s="34">
        <v>-1</v>
      </c>
      <c r="C96" s="44"/>
      <c r="D96" s="44">
        <f t="shared" si="4"/>
        <v>0</v>
      </c>
      <c r="E96" s="44">
        <f t="shared" si="5"/>
        <v>-1</v>
      </c>
      <c r="F96" s="47" t="s">
        <v>7</v>
      </c>
      <c r="G96" s="47" t="s">
        <v>14</v>
      </c>
      <c r="H96" s="47" t="s">
        <v>9</v>
      </c>
      <c r="I96" s="36" t="s">
        <v>191</v>
      </c>
      <c r="J96" s="9" t="s">
        <v>91</v>
      </c>
      <c r="K96" s="9">
        <f>VLOOKUP(J96,'Piano conti'!D:E,2,FALSE)</f>
        <v>1401</v>
      </c>
      <c r="P96" s="118"/>
    </row>
    <row r="97" spans="1:16" x14ac:dyDescent="0.25">
      <c r="A97" s="43"/>
      <c r="B97" s="10"/>
      <c r="C97" s="10"/>
      <c r="D97" s="44">
        <f t="shared" ref="D97:D98" si="6">MAX($B97,0)</f>
        <v>0</v>
      </c>
      <c r="E97" s="44">
        <f t="shared" ref="E97:E98" si="7">MIN($B97,0)</f>
        <v>0</v>
      </c>
      <c r="F97" s="45"/>
      <c r="G97" s="45"/>
      <c r="H97" s="45"/>
      <c r="I97" s="46"/>
      <c r="J97" s="9"/>
      <c r="K97" s="9" t="e">
        <f>VLOOKUP(J97,'Piano conti'!D:E,2,FALSE)</f>
        <v>#N/A</v>
      </c>
      <c r="L97" s="47"/>
      <c r="M97" s="47"/>
    </row>
    <row r="98" spans="1:16" x14ac:dyDescent="0.25">
      <c r="B98" s="11">
        <f>SUM(B1:B97)</f>
        <v>1718.8100000000015</v>
      </c>
      <c r="C98" s="11">
        <f>SUM(C1:C97)</f>
        <v>0</v>
      </c>
      <c r="D98" s="105">
        <f>SUM(D1:D97)</f>
        <v>5734.7899999999991</v>
      </c>
      <c r="E98" s="105">
        <f>SUM(E1:E97)</f>
        <v>-4015.9799999999991</v>
      </c>
      <c r="F98" s="96">
        <f>SUM(B98:C98)</f>
        <v>1718.8100000000015</v>
      </c>
      <c r="J98" s="9"/>
      <c r="K98" s="9" t="e">
        <f>VLOOKUP(J98,'Piano conti'!D:E,2,FALSE)</f>
        <v>#N/A</v>
      </c>
      <c r="L98" s="9"/>
      <c r="M98" s="9"/>
    </row>
    <row r="99" spans="1:16" s="45" customFormat="1" x14ac:dyDescent="0.25">
      <c r="A99" s="4"/>
      <c r="B99" s="34"/>
      <c r="C99" s="34"/>
      <c r="D99" s="34"/>
      <c r="E99" s="34"/>
      <c r="F99" s="106"/>
      <c r="G99"/>
      <c r="H99"/>
      <c r="I99" s="37"/>
      <c r="J99"/>
      <c r="K99"/>
      <c r="L99"/>
      <c r="M99"/>
      <c r="P99" s="48"/>
    </row>
    <row r="102" spans="1:16" x14ac:dyDescent="0.25">
      <c r="A102" s="4" t="s">
        <v>170</v>
      </c>
      <c r="B102" s="7">
        <f>SUMIF($F$1:$F$97,$F102,B$1:B$97)</f>
        <v>558.47</v>
      </c>
      <c r="C102" s="7">
        <f>SUMIF($F$1:$F$97,$F102,C$1:C$97)</f>
        <v>0</v>
      </c>
      <c r="F102" t="s">
        <v>165</v>
      </c>
    </row>
    <row r="103" spans="1:16" x14ac:dyDescent="0.25">
      <c r="A103" s="4" t="s">
        <v>10</v>
      </c>
      <c r="B103" s="7">
        <f>SUMIF($F$1:$F$97,$F103,B$1:B$97)</f>
        <v>846.32999999999959</v>
      </c>
      <c r="C103" s="7">
        <f>SUMIF($F$1:$F$97,$F103,C$1:C$97)</f>
        <v>0</v>
      </c>
      <c r="F103" t="s">
        <v>7</v>
      </c>
    </row>
    <row r="104" spans="1:16" x14ac:dyDescent="0.25">
      <c r="A104" s="4" t="s">
        <v>11</v>
      </c>
      <c r="B104" s="7">
        <f>SUMIF($F$1:$F$97,$F104,B$1:B$97)</f>
        <v>314.00999999999993</v>
      </c>
      <c r="C104" s="7">
        <f>SUMIF($F$1:$F$97,$F104,C$1:C$97)</f>
        <v>0</v>
      </c>
      <c r="F104" t="s">
        <v>6</v>
      </c>
    </row>
    <row r="105" spans="1:16" x14ac:dyDescent="0.25">
      <c r="B105" s="13">
        <f>SUM(B102:B104)</f>
        <v>1718.8099999999997</v>
      </c>
      <c r="C105" s="13">
        <f t="shared" ref="C105:D105" si="8">SUM(C102:C104)</f>
        <v>0</v>
      </c>
      <c r="D105" s="13">
        <f t="shared" si="8"/>
        <v>0</v>
      </c>
      <c r="E105" s="34"/>
    </row>
    <row r="107" spans="1:16" x14ac:dyDescent="0.25">
      <c r="B107" s="7">
        <f>B98-B105</f>
        <v>1.8189894035458565E-12</v>
      </c>
      <c r="C107" s="7">
        <f>C98-C105</f>
        <v>0</v>
      </c>
    </row>
    <row r="109" spans="1:16" s="18" customFormat="1" x14ac:dyDescent="0.25">
      <c r="A109" s="18" t="s">
        <v>13</v>
      </c>
      <c r="B109" s="157">
        <v>43100</v>
      </c>
      <c r="C109" s="19"/>
      <c r="D109" s="19"/>
      <c r="E109" s="19"/>
      <c r="H109"/>
      <c r="I109" s="38"/>
      <c r="P109" s="20"/>
    </row>
    <row r="110" spans="1:16" x14ac:dyDescent="0.25">
      <c r="A110"/>
      <c r="B110" s="158">
        <v>314.01</v>
      </c>
    </row>
    <row r="111" spans="1:16" x14ac:dyDescent="0.25">
      <c r="A111" t="s">
        <v>12</v>
      </c>
      <c r="B111" s="16">
        <f>B104-B110</f>
        <v>0</v>
      </c>
    </row>
    <row r="113" spans="1:7" x14ac:dyDescent="0.25">
      <c r="A113" s="18" t="s">
        <v>19</v>
      </c>
      <c r="B113" s="157">
        <v>43100</v>
      </c>
    </row>
    <row r="114" spans="1:7" x14ac:dyDescent="0.25">
      <c r="A114"/>
      <c r="B114" s="158">
        <v>846.33</v>
      </c>
    </row>
    <row r="115" spans="1:7" x14ac:dyDescent="0.25">
      <c r="A115" t="s">
        <v>12</v>
      </c>
      <c r="B115" s="16">
        <f>B103-B114</f>
        <v>0</v>
      </c>
    </row>
    <row r="117" spans="1:7" x14ac:dyDescent="0.25">
      <c r="A117" s="18" t="s">
        <v>168</v>
      </c>
      <c r="B117" s="157">
        <v>43100</v>
      </c>
      <c r="G117" s="155"/>
    </row>
    <row r="118" spans="1:7" x14ac:dyDescent="0.25">
      <c r="A118"/>
      <c r="B118" s="158">
        <f>565.49-3.51*2</f>
        <v>558.47</v>
      </c>
    </row>
    <row r="119" spans="1:7" x14ac:dyDescent="0.25">
      <c r="A119" t="s">
        <v>12</v>
      </c>
      <c r="B119" s="16">
        <f>B102-B118</f>
        <v>0</v>
      </c>
    </row>
  </sheetData>
  <autoFilter ref="A1:M99">
    <sortState ref="A2:M114">
      <sortCondition ref="A1:A114"/>
    </sortState>
  </autoFilter>
  <conditionalFormatting sqref="B84:B86 B2:B77 B79:B82 B90 B97">
    <cfRule type="expression" dxfId="25" priority="60">
      <formula>IF(F2="C",IF(B2&gt;=3000,1,IF(B2&lt;=-3000,1,0)),0)=1</formula>
    </cfRule>
  </conditionalFormatting>
  <conditionalFormatting sqref="B83">
    <cfRule type="expression" dxfId="24" priority="15">
      <formula>IF(F83="C",IF(B83&gt;=3000,1,IF(B83&lt;=-3000,1,0)),0)=1</formula>
    </cfRule>
  </conditionalFormatting>
  <conditionalFormatting sqref="B88">
    <cfRule type="expression" dxfId="23" priority="13">
      <formula>IF(F88="C",IF(B88&gt;=3000,1,IF(B88&lt;=-3000,1,0)),0)=1</formula>
    </cfRule>
  </conditionalFormatting>
  <conditionalFormatting sqref="B78">
    <cfRule type="expression" dxfId="22" priority="12">
      <formula>IF(F78="C",IF(B78&gt;=3000,1,IF(B78&lt;=-3000,1,0)),0)=1</formula>
    </cfRule>
  </conditionalFormatting>
  <conditionalFormatting sqref="B89">
    <cfRule type="expression" dxfId="21" priority="11">
      <formula>IF(F89="C",IF(B89&gt;=3000,1,IF(B89&lt;=-3000,1,0)),0)=1</formula>
    </cfRule>
  </conditionalFormatting>
  <conditionalFormatting sqref="B91 B93">
    <cfRule type="expression" dxfId="20" priority="10">
      <formula>IF(F91="C",IF(B91&gt;=3000,1,IF(B91&lt;=-3000,1,0)),0)=1</formula>
    </cfRule>
  </conditionalFormatting>
  <conditionalFormatting sqref="B92">
    <cfRule type="expression" dxfId="19" priority="9">
      <formula>IF(F92="C",IF(B92&gt;=3000,1,IF(B92&lt;=-3000,1,0)),0)=1</formula>
    </cfRule>
  </conditionalFormatting>
  <conditionalFormatting sqref="B87">
    <cfRule type="expression" dxfId="18" priority="8">
      <formula>IF(F87="C",IF(B87&gt;=3000,1,IF(B87&lt;=-3000,1,0)),0)=1</formula>
    </cfRule>
  </conditionalFormatting>
  <conditionalFormatting sqref="B94">
    <cfRule type="expression" dxfId="17" priority="7">
      <formula>IF(F94="C",IF(B94&gt;=3000,1,IF(B94&lt;=-3000,1,0)),0)=1</formula>
    </cfRule>
  </conditionalFormatting>
  <conditionalFormatting sqref="B95:B96">
    <cfRule type="expression" dxfId="16" priority="6">
      <formula>IF(F95="C",IF(B95&gt;=3000,1,IF(B95&lt;=-3000,1,0)),0)=1</formula>
    </cfRule>
  </conditionalFormatting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'[1]Piano conti'!#REF!</xm:f>
          </x14:formula1>
          <xm:sqref>J81</xm:sqref>
        </x14:dataValidation>
        <x14:dataValidation type="list" allowBlank="1" showInputMessage="1" showErrorMessage="1">
          <x14:formula1>
            <xm:f>'Piano conti'!D$4:D$45</xm:f>
          </x14:formula1>
          <xm:sqref>J101</xm:sqref>
        </x14:dataValidation>
        <x14:dataValidation type="list" allowBlank="1" showInputMessage="1" showErrorMessage="1">
          <x14:formula1>
            <xm:f>'Piano conti'!D$4:D$46</xm:f>
          </x14:formula1>
          <xm:sqref>J2:J80 J82:J99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workbookViewId="0">
      <selection activeCell="B15" sqref="B15"/>
    </sheetView>
  </sheetViews>
  <sheetFormatPr defaultRowHeight="15" x14ac:dyDescent="0.25"/>
  <cols>
    <col min="1" max="1" width="10.7109375" bestFit="1" customWidth="1"/>
    <col min="2" max="2" width="30" bestFit="1" customWidth="1"/>
    <col min="3" max="3" width="10.85546875" style="27" customWidth="1"/>
    <col min="4" max="4" width="11.28515625" style="27" customWidth="1"/>
    <col min="5" max="5" width="9.5703125" style="35" customWidth="1"/>
    <col min="6" max="6" width="9.7109375" bestFit="1" customWidth="1"/>
  </cols>
  <sheetData>
    <row r="2" spans="2:6" x14ac:dyDescent="0.25">
      <c r="C2"/>
    </row>
    <row r="4" spans="2:6" x14ac:dyDescent="0.25">
      <c r="C4" s="41" t="s">
        <v>15</v>
      </c>
      <c r="D4" s="24"/>
      <c r="E4" s="24"/>
    </row>
    <row r="5" spans="2:6" s="9" customFormat="1" x14ac:dyDescent="0.25">
      <c r="B5" s="21" t="s">
        <v>226</v>
      </c>
      <c r="C5" t="s">
        <v>47</v>
      </c>
      <c r="D5" t="s">
        <v>48</v>
      </c>
      <c r="E5" t="s">
        <v>49</v>
      </c>
      <c r="F5"/>
    </row>
    <row r="6" spans="2:6" s="9" customFormat="1" x14ac:dyDescent="0.25">
      <c r="B6" s="23" t="s">
        <v>164</v>
      </c>
      <c r="C6" s="40">
        <v>35</v>
      </c>
      <c r="D6" s="40">
        <v>-49.730000000000004</v>
      </c>
      <c r="E6" s="12">
        <v>-14.730000000000004</v>
      </c>
      <c r="F6"/>
    </row>
    <row r="7" spans="2:6" s="9" customFormat="1" x14ac:dyDescent="0.25">
      <c r="B7" s="23" t="s">
        <v>207</v>
      </c>
      <c r="C7" s="40">
        <v>0</v>
      </c>
      <c r="D7" s="40">
        <v>-112.14</v>
      </c>
      <c r="E7" s="12">
        <v>-112.14</v>
      </c>
      <c r="F7"/>
    </row>
    <row r="8" spans="2:6" s="9" customFormat="1" x14ac:dyDescent="0.25">
      <c r="B8" s="23" t="s">
        <v>238</v>
      </c>
      <c r="C8" s="40">
        <v>105</v>
      </c>
      <c r="D8" s="40">
        <v>-50</v>
      </c>
      <c r="E8" s="12">
        <v>55</v>
      </c>
      <c r="F8"/>
    </row>
    <row r="9" spans="2:6" s="9" customFormat="1" x14ac:dyDescent="0.25">
      <c r="B9" s="23" t="s">
        <v>237</v>
      </c>
      <c r="C9" s="40">
        <v>85</v>
      </c>
      <c r="D9" s="40">
        <v>-290.60000000000002</v>
      </c>
      <c r="E9" s="12">
        <v>-205.60000000000002</v>
      </c>
      <c r="F9"/>
    </row>
    <row r="10" spans="2:6" s="9" customFormat="1" x14ac:dyDescent="0.25">
      <c r="B10" s="23" t="s">
        <v>204</v>
      </c>
      <c r="C10" s="40">
        <v>200</v>
      </c>
      <c r="D10" s="40">
        <v>0</v>
      </c>
      <c r="E10" s="12">
        <v>200</v>
      </c>
      <c r="F10"/>
    </row>
    <row r="11" spans="2:6" x14ac:dyDescent="0.25">
      <c r="B11" s="23" t="s">
        <v>166</v>
      </c>
      <c r="C11" s="40">
        <v>17</v>
      </c>
      <c r="D11" s="40">
        <v>-1.99</v>
      </c>
      <c r="E11" s="12">
        <v>15.01</v>
      </c>
    </row>
    <row r="12" spans="2:6" x14ac:dyDescent="0.25">
      <c r="B12" s="23" t="s">
        <v>186</v>
      </c>
      <c r="C12" s="40">
        <v>264</v>
      </c>
      <c r="D12" s="40">
        <v>-10.6</v>
      </c>
      <c r="E12" s="12">
        <v>253.4</v>
      </c>
    </row>
    <row r="13" spans="2:6" x14ac:dyDescent="0.25">
      <c r="B13" s="23" t="s">
        <v>14</v>
      </c>
      <c r="C13" s="40">
        <v>4199.29</v>
      </c>
      <c r="D13" s="40">
        <v>-3016.4599999999996</v>
      </c>
      <c r="E13" s="12">
        <v>1182.8299999999995</v>
      </c>
    </row>
    <row r="14" spans="2:6" x14ac:dyDescent="0.25">
      <c r="B14" s="23" t="s">
        <v>44</v>
      </c>
      <c r="C14" s="40">
        <v>0</v>
      </c>
      <c r="D14" s="40">
        <v>-140</v>
      </c>
      <c r="E14" s="12">
        <v>-140</v>
      </c>
    </row>
    <row r="15" spans="2:6" x14ac:dyDescent="0.25">
      <c r="B15" s="23" t="s">
        <v>243</v>
      </c>
      <c r="C15" s="40">
        <v>50</v>
      </c>
      <c r="D15" s="40">
        <v>0</v>
      </c>
      <c r="E15" s="12">
        <v>50</v>
      </c>
    </row>
    <row r="16" spans="2:6" x14ac:dyDescent="0.25">
      <c r="B16" s="23" t="s">
        <v>200</v>
      </c>
      <c r="C16" s="40">
        <v>64</v>
      </c>
      <c r="D16" s="40">
        <v>-30</v>
      </c>
      <c r="E16" s="12">
        <v>34</v>
      </c>
    </row>
    <row r="17" spans="2:5" x14ac:dyDescent="0.25">
      <c r="B17" s="23" t="s">
        <v>187</v>
      </c>
      <c r="C17" s="40">
        <v>50</v>
      </c>
      <c r="D17" s="40">
        <v>-3.5</v>
      </c>
      <c r="E17" s="12">
        <v>46.5</v>
      </c>
    </row>
    <row r="18" spans="2:5" x14ac:dyDescent="0.25">
      <c r="B18" s="23" t="s">
        <v>239</v>
      </c>
      <c r="C18" s="40">
        <v>300</v>
      </c>
      <c r="D18" s="40">
        <v>-82.44</v>
      </c>
      <c r="E18" s="12">
        <v>217.56</v>
      </c>
    </row>
    <row r="19" spans="2:5" x14ac:dyDescent="0.25">
      <c r="B19" s="23" t="s">
        <v>241</v>
      </c>
      <c r="C19" s="40">
        <v>0</v>
      </c>
      <c r="D19" s="40">
        <v>-9.1999999999999993</v>
      </c>
      <c r="E19" s="12">
        <v>-9.1999999999999993</v>
      </c>
    </row>
    <row r="20" spans="2:5" x14ac:dyDescent="0.25">
      <c r="B20" s="23" t="s">
        <v>232</v>
      </c>
      <c r="C20" s="40">
        <v>150</v>
      </c>
      <c r="D20" s="40">
        <v>-10.68</v>
      </c>
      <c r="E20" s="12">
        <v>139.32</v>
      </c>
    </row>
    <row r="21" spans="2:5" x14ac:dyDescent="0.25">
      <c r="B21" s="23" t="s">
        <v>248</v>
      </c>
      <c r="C21" s="40">
        <v>0</v>
      </c>
      <c r="D21" s="40">
        <v>-10</v>
      </c>
      <c r="E21" s="12">
        <v>-10</v>
      </c>
    </row>
    <row r="22" spans="2:5" x14ac:dyDescent="0.25">
      <c r="B22" s="23" t="s">
        <v>244</v>
      </c>
      <c r="C22" s="40">
        <v>0</v>
      </c>
      <c r="D22" s="40">
        <v>-33.44</v>
      </c>
      <c r="E22" s="12">
        <v>-33.44</v>
      </c>
    </row>
    <row r="23" spans="2:5" x14ac:dyDescent="0.25">
      <c r="B23" s="23" t="s">
        <v>247</v>
      </c>
      <c r="C23" s="40">
        <v>83</v>
      </c>
      <c r="D23" s="40">
        <v>-25.2</v>
      </c>
      <c r="E23" s="12">
        <v>57.8</v>
      </c>
    </row>
    <row r="24" spans="2:5" x14ac:dyDescent="0.25">
      <c r="B24" s="23" t="s">
        <v>208</v>
      </c>
      <c r="C24" s="40">
        <v>102.5</v>
      </c>
      <c r="D24" s="40">
        <v>-100</v>
      </c>
      <c r="E24" s="12">
        <v>2.5</v>
      </c>
    </row>
    <row r="25" spans="2:5" x14ac:dyDescent="0.25">
      <c r="B25" s="23" t="s">
        <v>227</v>
      </c>
      <c r="C25" s="40">
        <v>30</v>
      </c>
      <c r="D25" s="40">
        <v>-40</v>
      </c>
      <c r="E25" s="12">
        <v>-10</v>
      </c>
    </row>
    <row r="26" spans="2:5" x14ac:dyDescent="0.25">
      <c r="B26" s="22" t="s">
        <v>228</v>
      </c>
      <c r="C26" s="39">
        <v>5734.79</v>
      </c>
      <c r="D26" s="39">
        <v>-4015.9799999999991</v>
      </c>
      <c r="E26" s="7">
        <v>1718.8099999999993</v>
      </c>
    </row>
  </sheetData>
  <autoFilter ref="A5:D13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2" workbookViewId="0">
      <selection activeCell="L4" sqref="L4:L6"/>
    </sheetView>
  </sheetViews>
  <sheetFormatPr defaultRowHeight="15" x14ac:dyDescent="0.25"/>
  <cols>
    <col min="1" max="1" width="5.85546875" customWidth="1"/>
    <col min="2" max="2" width="10.7109375" bestFit="1" customWidth="1"/>
    <col min="3" max="3" width="4.7109375" bestFit="1" customWidth="1"/>
    <col min="4" max="5" width="11.5703125" customWidth="1"/>
    <col min="6" max="6" width="9.5703125" bestFit="1" customWidth="1"/>
    <col min="7" max="7" width="10.5703125" bestFit="1" customWidth="1"/>
    <col min="8" max="8" width="17.28515625" bestFit="1" customWidth="1"/>
    <col min="9" max="9" width="34.85546875" customWidth="1"/>
    <col min="10" max="10" width="4.140625" customWidth="1"/>
    <col min="11" max="11" width="6.5703125" style="24" customWidth="1"/>
    <col min="12" max="13" width="10.7109375" bestFit="1" customWidth="1"/>
    <col min="14" max="14" width="11.85546875" customWidth="1"/>
  </cols>
  <sheetData>
    <row r="1" spans="1:14" ht="18.75" x14ac:dyDescent="0.3">
      <c r="A1" s="26" t="s">
        <v>20</v>
      </c>
    </row>
    <row r="3" spans="1:14" s="31" customFormat="1" x14ac:dyDescent="0.25">
      <c r="A3" s="31" t="s">
        <v>27</v>
      </c>
      <c r="B3" s="32" t="s">
        <v>21</v>
      </c>
      <c r="C3" s="32" t="s">
        <v>37</v>
      </c>
      <c r="D3" s="33" t="s">
        <v>22</v>
      </c>
      <c r="E3" s="33" t="s">
        <v>24</v>
      </c>
      <c r="F3" s="33" t="s">
        <v>23</v>
      </c>
      <c r="G3" s="33" t="s">
        <v>25</v>
      </c>
      <c r="H3" s="31" t="s">
        <v>26</v>
      </c>
      <c r="I3" s="31" t="s">
        <v>2</v>
      </c>
      <c r="K3" s="31" t="s">
        <v>38</v>
      </c>
      <c r="L3" s="31" t="s">
        <v>28</v>
      </c>
      <c r="M3" s="31" t="s">
        <v>23</v>
      </c>
      <c r="N3" s="31" t="s">
        <v>43</v>
      </c>
    </row>
    <row r="4" spans="1:14" x14ac:dyDescent="0.25">
      <c r="B4" s="4"/>
      <c r="C4" s="30" t="str">
        <f t="shared" ref="C4:C10" si="0">ROMAN(ROUNDUP(MONTH(B4)/3,0),0)</f>
        <v>I</v>
      </c>
      <c r="E4" s="28">
        <v>22</v>
      </c>
      <c r="F4" s="12">
        <f t="shared" ref="F4:F10" si="1">D4*E4%</f>
        <v>0</v>
      </c>
      <c r="G4" s="12">
        <f t="shared" ref="G4:G10" si="2">SUM(D4,F4)</f>
        <v>0</v>
      </c>
      <c r="H4" s="9"/>
      <c r="I4" s="36"/>
      <c r="K4" s="24" t="s">
        <v>39</v>
      </c>
      <c r="L4" s="4">
        <v>42871</v>
      </c>
      <c r="M4" s="27">
        <f>SUMIF($C$4:$C$24,K4,$F$4:$F$24)</f>
        <v>0</v>
      </c>
      <c r="N4" s="7">
        <f>M4*50%</f>
        <v>0</v>
      </c>
    </row>
    <row r="5" spans="1:14" s="9" customFormat="1" x14ac:dyDescent="0.25">
      <c r="A5"/>
      <c r="B5" s="4"/>
      <c r="C5" s="30" t="str">
        <f t="shared" si="0"/>
        <v>I</v>
      </c>
      <c r="D5"/>
      <c r="E5" s="28">
        <v>22</v>
      </c>
      <c r="F5" s="12">
        <f t="shared" si="1"/>
        <v>0</v>
      </c>
      <c r="G5" s="12">
        <f t="shared" si="2"/>
        <v>0</v>
      </c>
      <c r="I5" s="36"/>
      <c r="K5" s="24" t="s">
        <v>40</v>
      </c>
      <c r="L5" s="4">
        <v>42969</v>
      </c>
      <c r="M5" s="27">
        <f>SUMIF($C$4:$C$24,K5,$F$4:$F$24)</f>
        <v>0</v>
      </c>
      <c r="N5" s="7">
        <f t="shared" ref="N5:N7" si="3">M5*50%</f>
        <v>0</v>
      </c>
    </row>
    <row r="6" spans="1:14" s="9" customFormat="1" x14ac:dyDescent="0.25">
      <c r="A6"/>
      <c r="B6" s="4"/>
      <c r="C6" s="30" t="str">
        <f t="shared" si="0"/>
        <v>I</v>
      </c>
      <c r="D6"/>
      <c r="E6" s="28">
        <v>22</v>
      </c>
      <c r="F6" s="12">
        <f t="shared" si="1"/>
        <v>0</v>
      </c>
      <c r="G6" s="12">
        <f t="shared" si="2"/>
        <v>0</v>
      </c>
      <c r="I6" s="36"/>
      <c r="K6" s="24" t="s">
        <v>41</v>
      </c>
      <c r="L6" s="4">
        <v>43055</v>
      </c>
      <c r="M6" s="27">
        <f>SUMIF($C$4:$C$24,K6,$F$4:$F$24)</f>
        <v>0</v>
      </c>
      <c r="N6" s="7">
        <f t="shared" si="3"/>
        <v>0</v>
      </c>
    </row>
    <row r="7" spans="1:14" x14ac:dyDescent="0.25">
      <c r="B7" s="4"/>
      <c r="C7" s="30" t="str">
        <f t="shared" si="0"/>
        <v>I</v>
      </c>
      <c r="E7" s="28">
        <v>22</v>
      </c>
      <c r="F7" s="12">
        <f t="shared" si="1"/>
        <v>0</v>
      </c>
      <c r="G7" s="12">
        <f t="shared" si="2"/>
        <v>0</v>
      </c>
      <c r="H7" s="9"/>
      <c r="I7" s="36"/>
      <c r="K7" s="24" t="s">
        <v>42</v>
      </c>
      <c r="L7" s="4">
        <v>43147</v>
      </c>
      <c r="M7" s="27">
        <f>SUMIF($C$4:$C$24,K7,$F$4:$F$24)</f>
        <v>0</v>
      </c>
      <c r="N7" s="7">
        <f t="shared" si="3"/>
        <v>0</v>
      </c>
    </row>
    <row r="8" spans="1:14" x14ac:dyDescent="0.25">
      <c r="B8" s="4"/>
      <c r="C8" s="30" t="str">
        <f t="shared" si="0"/>
        <v>I</v>
      </c>
      <c r="E8" s="28">
        <v>22</v>
      </c>
      <c r="F8" s="12">
        <f t="shared" si="1"/>
        <v>0</v>
      </c>
      <c r="G8" s="12">
        <f t="shared" si="2"/>
        <v>0</v>
      </c>
      <c r="H8" s="9"/>
      <c r="I8" s="36"/>
      <c r="M8" s="19">
        <f>SUM(M4:M7)</f>
        <v>0</v>
      </c>
      <c r="N8" s="19">
        <f>SUM(N4:N7)</f>
        <v>0</v>
      </c>
    </row>
    <row r="9" spans="1:14" x14ac:dyDescent="0.25">
      <c r="B9" s="4"/>
      <c r="C9" s="30" t="str">
        <f t="shared" si="0"/>
        <v>I</v>
      </c>
      <c r="E9" s="28">
        <v>22</v>
      </c>
      <c r="F9" s="12">
        <f t="shared" si="1"/>
        <v>0</v>
      </c>
      <c r="G9" s="12">
        <f t="shared" si="2"/>
        <v>0</v>
      </c>
      <c r="H9" s="9"/>
      <c r="I9" s="36"/>
      <c r="M9" s="19"/>
      <c r="N9" s="19"/>
    </row>
    <row r="10" spans="1:14" x14ac:dyDescent="0.25">
      <c r="B10" s="4"/>
      <c r="C10" s="30" t="str">
        <f t="shared" si="0"/>
        <v>I</v>
      </c>
      <c r="E10" s="28">
        <v>22</v>
      </c>
      <c r="F10" s="12">
        <f t="shared" si="1"/>
        <v>0</v>
      </c>
      <c r="G10" s="12">
        <f t="shared" si="2"/>
        <v>0</v>
      </c>
      <c r="H10" s="9"/>
      <c r="I10" s="36"/>
      <c r="M10" s="19"/>
      <c r="N10" s="19"/>
    </row>
    <row r="11" spans="1:14" x14ac:dyDescent="0.25">
      <c r="B11" s="4"/>
      <c r="C11" s="30" t="str">
        <f t="shared" ref="C11:C16" si="4">ROMAN(ROUNDUP(MONTH(B11)/3,0),0)</f>
        <v>I</v>
      </c>
      <c r="E11" s="28">
        <v>22</v>
      </c>
      <c r="F11" s="12">
        <f t="shared" ref="F11:F16" si="5">D11*E11%</f>
        <v>0</v>
      </c>
      <c r="G11" s="12">
        <f t="shared" ref="G11:G16" si="6">SUM(D11,F11)</f>
        <v>0</v>
      </c>
      <c r="H11" s="9"/>
      <c r="I11" s="36"/>
      <c r="M11" s="19"/>
      <c r="N11" s="19"/>
    </row>
    <row r="12" spans="1:14" x14ac:dyDescent="0.25">
      <c r="B12" s="4"/>
      <c r="C12" s="30" t="str">
        <f t="shared" si="4"/>
        <v>I</v>
      </c>
      <c r="E12" s="28">
        <v>22</v>
      </c>
      <c r="F12" s="12">
        <f t="shared" si="5"/>
        <v>0</v>
      </c>
      <c r="G12" s="12">
        <f t="shared" si="6"/>
        <v>0</v>
      </c>
      <c r="H12" s="9"/>
      <c r="I12" s="36"/>
      <c r="M12" s="19"/>
      <c r="N12" s="19"/>
    </row>
    <row r="13" spans="1:14" x14ac:dyDescent="0.25">
      <c r="B13" s="4"/>
      <c r="C13" s="30" t="str">
        <f t="shared" si="4"/>
        <v>I</v>
      </c>
      <c r="E13" s="28">
        <v>22</v>
      </c>
      <c r="F13" s="12">
        <f t="shared" si="5"/>
        <v>0</v>
      </c>
      <c r="G13" s="12">
        <f t="shared" si="6"/>
        <v>0</v>
      </c>
      <c r="H13" s="9"/>
      <c r="I13" s="36"/>
      <c r="M13" s="19"/>
      <c r="N13" s="19"/>
    </row>
    <row r="14" spans="1:14" x14ac:dyDescent="0.25">
      <c r="B14" s="4"/>
      <c r="C14" s="30" t="str">
        <f t="shared" si="4"/>
        <v>I</v>
      </c>
      <c r="E14" s="28">
        <v>22</v>
      </c>
      <c r="F14" s="12">
        <f t="shared" si="5"/>
        <v>0</v>
      </c>
      <c r="G14" s="12">
        <f t="shared" si="6"/>
        <v>0</v>
      </c>
      <c r="H14" s="9"/>
      <c r="I14" s="36"/>
      <c r="M14" s="19"/>
      <c r="N14" s="19"/>
    </row>
    <row r="15" spans="1:14" x14ac:dyDescent="0.25">
      <c r="B15" s="4"/>
      <c r="C15" s="30" t="str">
        <f t="shared" si="4"/>
        <v>I</v>
      </c>
      <c r="E15" s="28">
        <v>22</v>
      </c>
      <c r="F15" s="12">
        <f t="shared" si="5"/>
        <v>0</v>
      </c>
      <c r="G15" s="12">
        <f t="shared" si="6"/>
        <v>0</v>
      </c>
      <c r="H15" s="9"/>
      <c r="I15" s="36"/>
    </row>
    <row r="16" spans="1:14" x14ac:dyDescent="0.25">
      <c r="B16" s="4"/>
      <c r="C16" s="30" t="str">
        <f t="shared" si="4"/>
        <v>I</v>
      </c>
      <c r="E16" s="28">
        <v>22</v>
      </c>
      <c r="F16" s="12">
        <f t="shared" si="5"/>
        <v>0</v>
      </c>
      <c r="G16" s="12">
        <f t="shared" si="6"/>
        <v>0</v>
      </c>
      <c r="H16" s="9"/>
      <c r="I16" s="36"/>
      <c r="M16" s="7"/>
    </row>
    <row r="17" spans="2:11" x14ac:dyDescent="0.25">
      <c r="B17" s="4"/>
      <c r="C17" s="30" t="str">
        <f t="shared" ref="C17:C20" si="7">ROMAN(ROUNDUP(MONTH(B17)/3,0),0)</f>
        <v>I</v>
      </c>
      <c r="E17" s="28">
        <v>22</v>
      </c>
      <c r="F17" s="12">
        <f t="shared" ref="F17:F20" si="8">D17*E17%</f>
        <v>0</v>
      </c>
      <c r="G17" s="12">
        <f t="shared" ref="G17:G20" si="9">SUM(D17,F17)</f>
        <v>0</v>
      </c>
      <c r="H17" s="9"/>
      <c r="I17" s="36"/>
    </row>
    <row r="18" spans="2:11" x14ac:dyDescent="0.25">
      <c r="B18" s="4"/>
      <c r="C18" s="30" t="str">
        <f t="shared" si="7"/>
        <v>I</v>
      </c>
      <c r="E18" s="28">
        <v>22</v>
      </c>
      <c r="F18" s="12">
        <f t="shared" si="8"/>
        <v>0</v>
      </c>
      <c r="G18" s="12">
        <f t="shared" si="9"/>
        <v>0</v>
      </c>
    </row>
    <row r="19" spans="2:11" x14ac:dyDescent="0.25">
      <c r="B19" s="4"/>
      <c r="C19" s="30" t="str">
        <f t="shared" si="7"/>
        <v>I</v>
      </c>
      <c r="E19" s="28">
        <v>22</v>
      </c>
      <c r="F19" s="12">
        <f t="shared" si="8"/>
        <v>0</v>
      </c>
      <c r="G19" s="12">
        <f t="shared" si="9"/>
        <v>0</v>
      </c>
    </row>
    <row r="20" spans="2:11" x14ac:dyDescent="0.25">
      <c r="B20" s="4"/>
      <c r="C20" s="30" t="str">
        <f t="shared" si="7"/>
        <v>I</v>
      </c>
      <c r="E20" s="28">
        <v>22</v>
      </c>
      <c r="F20" s="12">
        <f t="shared" si="8"/>
        <v>0</v>
      </c>
      <c r="G20" s="12">
        <f t="shared" si="9"/>
        <v>0</v>
      </c>
    </row>
    <row r="21" spans="2:11" x14ac:dyDescent="0.25">
      <c r="B21" s="4"/>
      <c r="C21" s="30" t="str">
        <f t="shared" ref="C21:C24" si="10">ROMAN(ROUNDUP(MONTH(B21)/3,0),0)</f>
        <v>I</v>
      </c>
      <c r="E21" s="28">
        <v>22</v>
      </c>
      <c r="F21" s="12">
        <f t="shared" ref="F21:F24" si="11">D21*E21%</f>
        <v>0</v>
      </c>
      <c r="G21" s="12">
        <f t="shared" ref="G21:G24" si="12">SUM(D21,F21)</f>
        <v>0</v>
      </c>
    </row>
    <row r="22" spans="2:11" x14ac:dyDescent="0.25">
      <c r="B22" s="4"/>
      <c r="C22" s="30" t="str">
        <f t="shared" si="10"/>
        <v>I</v>
      </c>
      <c r="E22" s="28">
        <v>22</v>
      </c>
      <c r="F22" s="12">
        <f t="shared" si="11"/>
        <v>0</v>
      </c>
      <c r="G22" s="12">
        <f t="shared" si="12"/>
        <v>0</v>
      </c>
    </row>
    <row r="23" spans="2:11" x14ac:dyDescent="0.25">
      <c r="B23" s="4"/>
      <c r="C23" s="30" t="str">
        <f t="shared" si="10"/>
        <v>I</v>
      </c>
      <c r="E23" s="28">
        <v>22</v>
      </c>
      <c r="F23" s="12">
        <f t="shared" si="11"/>
        <v>0</v>
      </c>
      <c r="G23" s="12">
        <f t="shared" si="12"/>
        <v>0</v>
      </c>
    </row>
    <row r="24" spans="2:11" x14ac:dyDescent="0.25">
      <c r="B24" s="4"/>
      <c r="C24" s="30" t="str">
        <f t="shared" si="10"/>
        <v>I</v>
      </c>
      <c r="F24" s="12">
        <f t="shared" si="11"/>
        <v>0</v>
      </c>
      <c r="G24" s="12">
        <f t="shared" si="12"/>
        <v>0</v>
      </c>
    </row>
    <row r="25" spans="2:11" s="18" customFormat="1" x14ac:dyDescent="0.25">
      <c r="D25" s="19">
        <f>SUM(D4:D24)</f>
        <v>0</v>
      </c>
      <c r="F25" s="19">
        <f>SUM(F4:F24)</f>
        <v>0</v>
      </c>
      <c r="G25" s="19">
        <f>SUM(G4:G24)</f>
        <v>0</v>
      </c>
      <c r="K25" s="25"/>
    </row>
  </sheetData>
  <sortState ref="A25:I44">
    <sortCondition ref="I25:I4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D23" sqref="D23"/>
    </sheetView>
  </sheetViews>
  <sheetFormatPr defaultRowHeight="15" x14ac:dyDescent="0.25"/>
  <cols>
    <col min="1" max="1" width="10.42578125" customWidth="1"/>
    <col min="2" max="2" width="6.5703125" customWidth="1"/>
    <col min="3" max="3" width="9.5703125" bestFit="1" customWidth="1"/>
    <col min="4" max="4" width="9.5703125" customWidth="1"/>
    <col min="9" max="9" width="9.5703125" bestFit="1" customWidth="1"/>
    <col min="10" max="10" width="11" bestFit="1" customWidth="1"/>
    <col min="11" max="11" width="27.42578125" bestFit="1" customWidth="1"/>
    <col min="13" max="13" width="7.85546875" style="24" customWidth="1"/>
    <col min="14" max="16" width="10.7109375" bestFit="1" customWidth="1"/>
    <col min="17" max="17" width="19.85546875" bestFit="1" customWidth="1"/>
  </cols>
  <sheetData>
    <row r="1" spans="1:23" s="26" customFormat="1" ht="18.75" x14ac:dyDescent="0.3">
      <c r="A1" s="26" t="s">
        <v>29</v>
      </c>
      <c r="M1" s="24"/>
      <c r="N1"/>
      <c r="O1"/>
    </row>
    <row r="3" spans="1:23" s="2" customFormat="1" ht="30" x14ac:dyDescent="0.25">
      <c r="A3" s="3" t="s">
        <v>30</v>
      </c>
      <c r="B3" s="3" t="s">
        <v>36</v>
      </c>
      <c r="C3" s="5" t="s">
        <v>32</v>
      </c>
      <c r="D3" s="5" t="s">
        <v>267</v>
      </c>
      <c r="E3" s="5" t="s">
        <v>31</v>
      </c>
      <c r="F3" s="5" t="s">
        <v>33</v>
      </c>
      <c r="G3" s="5" t="s">
        <v>268</v>
      </c>
      <c r="H3" s="5" t="s">
        <v>51</v>
      </c>
      <c r="I3" s="5" t="s">
        <v>34</v>
      </c>
      <c r="J3" s="2" t="s">
        <v>35</v>
      </c>
      <c r="K3" s="2" t="s">
        <v>2</v>
      </c>
      <c r="M3" s="2" t="s">
        <v>36</v>
      </c>
      <c r="N3" s="2" t="s">
        <v>28</v>
      </c>
      <c r="O3" s="2" t="s">
        <v>33</v>
      </c>
      <c r="P3" s="2" t="s">
        <v>197</v>
      </c>
    </row>
    <row r="4" spans="1:23" x14ac:dyDescent="0.25">
      <c r="A4" s="104">
        <v>42773</v>
      </c>
      <c r="B4" s="29">
        <f>MONTH(A4)</f>
        <v>2</v>
      </c>
      <c r="C4" s="27">
        <f>248.19</f>
        <v>248.19</v>
      </c>
      <c r="D4" s="27">
        <f>C4*0.04</f>
        <v>9.9276</v>
      </c>
      <c r="E4" s="28">
        <v>20</v>
      </c>
      <c r="F4" s="7">
        <f>C4*E4%</f>
        <v>49.638000000000005</v>
      </c>
      <c r="G4" s="156">
        <v>22</v>
      </c>
      <c r="H4" s="7">
        <f>SUM(C4:D4)*G4%</f>
        <v>56.785871999999998</v>
      </c>
      <c r="I4" s="12">
        <f>C4+D4-F4+H4</f>
        <v>265.26547199999999</v>
      </c>
      <c r="J4" s="9" t="s">
        <v>16</v>
      </c>
      <c r="K4" s="8" t="s">
        <v>52</v>
      </c>
      <c r="M4" s="24">
        <v>1</v>
      </c>
      <c r="N4" s="4">
        <v>42782</v>
      </c>
      <c r="O4" s="27">
        <f t="shared" ref="O4:O15" ca="1" si="0">SUMIF($B$4:$B$21,M4,$F$4:$F$19)</f>
        <v>0</v>
      </c>
      <c r="P4" s="4"/>
      <c r="U4" s="155"/>
      <c r="V4" s="155"/>
      <c r="W4" s="155"/>
    </row>
    <row r="5" spans="1:23" x14ac:dyDescent="0.25">
      <c r="A5" s="14">
        <v>42825</v>
      </c>
      <c r="B5" s="29">
        <f>MONTH(A5)</f>
        <v>3</v>
      </c>
      <c r="C5" s="27">
        <v>125</v>
      </c>
      <c r="D5" s="27"/>
      <c r="E5" s="28">
        <v>20</v>
      </c>
      <c r="F5" s="7">
        <f t="shared" ref="F5:F7" si="1">C5*E5%</f>
        <v>25</v>
      </c>
      <c r="G5" s="7">
        <v>0</v>
      </c>
      <c r="H5" s="7">
        <f t="shared" ref="H5:H15" si="2">SUM(C5:D5)*G5%</f>
        <v>0</v>
      </c>
      <c r="I5" s="12">
        <f t="shared" ref="I5:I15" si="3">C5+D5-F5+H5</f>
        <v>100</v>
      </c>
      <c r="J5" s="9" t="s">
        <v>185</v>
      </c>
      <c r="K5" s="36" t="s">
        <v>55</v>
      </c>
      <c r="M5" s="24">
        <v>2</v>
      </c>
      <c r="N5" s="4">
        <v>42810</v>
      </c>
      <c r="O5" s="27">
        <f t="shared" ca="1" si="0"/>
        <v>49.638000000000005</v>
      </c>
      <c r="P5" s="4">
        <v>42773</v>
      </c>
      <c r="U5" s="155"/>
      <c r="V5" s="155"/>
      <c r="W5" s="155"/>
    </row>
    <row r="6" spans="1:23" x14ac:dyDescent="0.25">
      <c r="A6" s="43">
        <v>42903</v>
      </c>
      <c r="B6" s="29">
        <f>MONTH(A6)</f>
        <v>6</v>
      </c>
      <c r="C6" s="27">
        <v>254.5</v>
      </c>
      <c r="D6" s="27"/>
      <c r="E6" s="28">
        <v>20</v>
      </c>
      <c r="F6" s="7">
        <f t="shared" si="1"/>
        <v>50.900000000000006</v>
      </c>
      <c r="G6" s="7">
        <v>0</v>
      </c>
      <c r="H6" s="7">
        <f t="shared" si="2"/>
        <v>0</v>
      </c>
      <c r="I6" s="12">
        <f t="shared" si="3"/>
        <v>203.6</v>
      </c>
      <c r="J6" s="47" t="s">
        <v>210</v>
      </c>
      <c r="K6" s="49" t="s">
        <v>212</v>
      </c>
      <c r="M6" s="24">
        <v>3</v>
      </c>
      <c r="N6" s="4">
        <v>42841</v>
      </c>
      <c r="O6" s="27">
        <f t="shared" ca="1" si="0"/>
        <v>25</v>
      </c>
      <c r="P6" s="4">
        <v>42921</v>
      </c>
      <c r="U6" s="155"/>
      <c r="V6" s="155"/>
      <c r="W6" s="155"/>
    </row>
    <row r="7" spans="1:23" s="9" customFormat="1" x14ac:dyDescent="0.25">
      <c r="A7" s="104">
        <v>43046</v>
      </c>
      <c r="B7" s="29">
        <f>MONTH(A7)</f>
        <v>11</v>
      </c>
      <c r="C7" s="27">
        <f>200</f>
        <v>200</v>
      </c>
      <c r="D7" s="27">
        <f>C7*0.04</f>
        <v>8</v>
      </c>
      <c r="E7" s="28">
        <v>20</v>
      </c>
      <c r="F7" s="7">
        <f t="shared" si="1"/>
        <v>40</v>
      </c>
      <c r="G7" s="156">
        <v>22</v>
      </c>
      <c r="H7" s="7">
        <f t="shared" si="2"/>
        <v>45.76</v>
      </c>
      <c r="I7" s="12">
        <f t="shared" si="3"/>
        <v>213.76</v>
      </c>
      <c r="J7" s="9" t="s">
        <v>16</v>
      </c>
      <c r="K7" s="8" t="s">
        <v>52</v>
      </c>
      <c r="M7" s="24">
        <v>4</v>
      </c>
      <c r="N7" s="4">
        <v>42871</v>
      </c>
      <c r="O7" s="27">
        <f t="shared" ca="1" si="0"/>
        <v>0</v>
      </c>
      <c r="P7" s="4"/>
      <c r="Q7"/>
      <c r="U7" s="155"/>
      <c r="V7" s="155"/>
      <c r="W7" s="155"/>
    </row>
    <row r="8" spans="1:23" s="9" customFormat="1" x14ac:dyDescent="0.25">
      <c r="A8" s="14"/>
      <c r="B8" s="29">
        <f t="shared" ref="B8:B15" si="4">MONTH(A8)</f>
        <v>1</v>
      </c>
      <c r="C8" s="12"/>
      <c r="D8" s="12"/>
      <c r="E8" s="28">
        <v>20</v>
      </c>
      <c r="F8" s="7">
        <f t="shared" ref="F8:F15" si="5">C8*E8%</f>
        <v>0</v>
      </c>
      <c r="G8" s="7"/>
      <c r="H8" s="7">
        <f t="shared" si="2"/>
        <v>0</v>
      </c>
      <c r="I8" s="12">
        <f t="shared" si="3"/>
        <v>0</v>
      </c>
      <c r="K8" s="8"/>
      <c r="M8" s="24">
        <v>5</v>
      </c>
      <c r="N8" s="4">
        <v>42902</v>
      </c>
      <c r="O8" s="27">
        <f t="shared" ca="1" si="0"/>
        <v>0</v>
      </c>
      <c r="P8" s="4"/>
      <c r="Q8"/>
      <c r="U8" s="155"/>
      <c r="V8" s="155"/>
      <c r="W8" s="155"/>
    </row>
    <row r="9" spans="1:23" x14ac:dyDescent="0.25">
      <c r="A9" s="14"/>
      <c r="B9" s="29">
        <f t="shared" si="4"/>
        <v>1</v>
      </c>
      <c r="C9" s="12"/>
      <c r="D9" s="12"/>
      <c r="E9" s="28">
        <v>20</v>
      </c>
      <c r="F9" s="7">
        <f t="shared" si="5"/>
        <v>0</v>
      </c>
      <c r="G9" s="7"/>
      <c r="H9" s="7">
        <f t="shared" si="2"/>
        <v>0</v>
      </c>
      <c r="I9" s="12">
        <f t="shared" si="3"/>
        <v>0</v>
      </c>
      <c r="J9" s="9"/>
      <c r="K9" s="8"/>
      <c r="M9" s="24">
        <v>6</v>
      </c>
      <c r="N9" s="4">
        <v>42932</v>
      </c>
      <c r="O9" s="27">
        <f t="shared" ca="1" si="0"/>
        <v>50.900000000000006</v>
      </c>
      <c r="P9" s="4">
        <v>42921</v>
      </c>
    </row>
    <row r="10" spans="1:23" x14ac:dyDescent="0.25">
      <c r="A10" s="14"/>
      <c r="B10" s="29">
        <f t="shared" si="4"/>
        <v>1</v>
      </c>
      <c r="C10" s="12"/>
      <c r="D10" s="12"/>
      <c r="E10" s="28">
        <v>20</v>
      </c>
      <c r="F10" s="7">
        <f t="shared" si="5"/>
        <v>0</v>
      </c>
      <c r="G10" s="7"/>
      <c r="H10" s="7">
        <f t="shared" si="2"/>
        <v>0</v>
      </c>
      <c r="I10" s="12">
        <f t="shared" si="3"/>
        <v>0</v>
      </c>
      <c r="J10" s="9"/>
      <c r="K10" s="36"/>
      <c r="M10" s="24">
        <v>7</v>
      </c>
      <c r="N10" s="4">
        <v>42963</v>
      </c>
      <c r="O10" s="27">
        <f t="shared" ca="1" si="0"/>
        <v>0</v>
      </c>
      <c r="P10" s="4"/>
    </row>
    <row r="11" spans="1:23" x14ac:dyDescent="0.25">
      <c r="A11" s="14"/>
      <c r="B11" s="29">
        <f t="shared" si="4"/>
        <v>1</v>
      </c>
      <c r="C11" s="12"/>
      <c r="D11" s="12"/>
      <c r="E11" s="28">
        <v>20</v>
      </c>
      <c r="F11" s="7">
        <f t="shared" si="5"/>
        <v>0</v>
      </c>
      <c r="G11" s="7"/>
      <c r="H11" s="7">
        <f t="shared" si="2"/>
        <v>0</v>
      </c>
      <c r="I11" s="12">
        <f t="shared" si="3"/>
        <v>0</v>
      </c>
      <c r="J11" s="9"/>
      <c r="K11" s="49"/>
      <c r="M11" s="24">
        <v>8</v>
      </c>
      <c r="N11" s="4">
        <v>42994</v>
      </c>
      <c r="O11" s="27">
        <f t="shared" ca="1" si="0"/>
        <v>0</v>
      </c>
      <c r="P11" s="4"/>
    </row>
    <row r="12" spans="1:23" x14ac:dyDescent="0.25">
      <c r="A12" s="14"/>
      <c r="B12" s="29">
        <f t="shared" si="4"/>
        <v>1</v>
      </c>
      <c r="C12" s="12"/>
      <c r="D12" s="12"/>
      <c r="E12" s="28">
        <v>20</v>
      </c>
      <c r="F12" s="7">
        <f t="shared" si="5"/>
        <v>0</v>
      </c>
      <c r="G12" s="7"/>
      <c r="H12" s="7">
        <f t="shared" si="2"/>
        <v>0</v>
      </c>
      <c r="I12" s="12">
        <f t="shared" si="3"/>
        <v>0</v>
      </c>
      <c r="K12" s="49"/>
      <c r="M12" s="24">
        <v>9</v>
      </c>
      <c r="N12" s="4">
        <v>43024</v>
      </c>
      <c r="O12" s="27">
        <f t="shared" ca="1" si="0"/>
        <v>0</v>
      </c>
      <c r="P12" s="4"/>
    </row>
    <row r="13" spans="1:23" x14ac:dyDescent="0.25">
      <c r="A13" s="14"/>
      <c r="B13" s="29">
        <f t="shared" si="4"/>
        <v>1</v>
      </c>
      <c r="E13" s="28">
        <v>20</v>
      </c>
      <c r="F13" s="7">
        <f t="shared" si="5"/>
        <v>0</v>
      </c>
      <c r="G13" s="7"/>
      <c r="H13" s="7">
        <f t="shared" si="2"/>
        <v>0</v>
      </c>
      <c r="I13" s="12">
        <f t="shared" si="3"/>
        <v>0</v>
      </c>
      <c r="M13" s="24">
        <v>10</v>
      </c>
      <c r="N13" s="4">
        <v>43055</v>
      </c>
      <c r="O13" s="27">
        <f t="shared" ca="1" si="0"/>
        <v>0</v>
      </c>
      <c r="P13" s="4"/>
    </row>
    <row r="14" spans="1:23" x14ac:dyDescent="0.25">
      <c r="A14" s="14"/>
      <c r="B14" s="29">
        <f t="shared" si="4"/>
        <v>1</v>
      </c>
      <c r="E14" s="28">
        <v>20</v>
      </c>
      <c r="F14" s="7">
        <f t="shared" si="5"/>
        <v>0</v>
      </c>
      <c r="G14" s="7"/>
      <c r="H14" s="7">
        <f t="shared" si="2"/>
        <v>0</v>
      </c>
      <c r="I14" s="12">
        <f t="shared" si="3"/>
        <v>0</v>
      </c>
      <c r="M14" s="24">
        <v>11</v>
      </c>
      <c r="N14" s="4">
        <v>43085</v>
      </c>
      <c r="O14" s="27">
        <f t="shared" ca="1" si="0"/>
        <v>40</v>
      </c>
      <c r="P14" s="4"/>
    </row>
    <row r="15" spans="1:23" x14ac:dyDescent="0.25">
      <c r="A15" s="14"/>
      <c r="B15" s="29">
        <f t="shared" si="4"/>
        <v>1</v>
      </c>
      <c r="E15" s="28">
        <v>20</v>
      </c>
      <c r="F15" s="7">
        <f t="shared" si="5"/>
        <v>0</v>
      </c>
      <c r="G15" s="7"/>
      <c r="H15" s="7">
        <f t="shared" si="2"/>
        <v>0</v>
      </c>
      <c r="I15" s="12">
        <f t="shared" si="3"/>
        <v>0</v>
      </c>
      <c r="M15" s="24">
        <v>12</v>
      </c>
      <c r="N15" s="4">
        <v>43116</v>
      </c>
      <c r="O15" s="27">
        <f t="shared" ca="1" si="0"/>
        <v>0</v>
      </c>
      <c r="P15" s="14"/>
      <c r="Q15" s="109"/>
    </row>
    <row r="16" spans="1:23" x14ac:dyDescent="0.25">
      <c r="A16" s="14"/>
      <c r="B16" s="29"/>
      <c r="E16" s="28"/>
      <c r="F16" s="7"/>
      <c r="G16" s="7"/>
      <c r="H16" s="7"/>
      <c r="I16" s="12"/>
      <c r="N16" s="4"/>
      <c r="O16" s="27"/>
      <c r="P16" s="14"/>
      <c r="Q16" s="109"/>
    </row>
    <row r="17" spans="1:17" x14ac:dyDescent="0.25">
      <c r="A17" s="14"/>
      <c r="B17" s="29"/>
      <c r="E17" s="28"/>
      <c r="F17" s="7"/>
      <c r="G17" s="7"/>
      <c r="H17" s="7"/>
      <c r="I17" s="12"/>
      <c r="N17" s="4"/>
      <c r="O17" s="27"/>
      <c r="P17" s="14"/>
      <c r="Q17" s="109"/>
    </row>
    <row r="18" spans="1:17" x14ac:dyDescent="0.25">
      <c r="A18" s="14"/>
      <c r="B18" s="29"/>
      <c r="E18" s="28"/>
      <c r="F18" s="7"/>
      <c r="G18" s="7"/>
      <c r="H18" s="7"/>
      <c r="I18" s="12"/>
      <c r="N18" s="4"/>
      <c r="O18" s="27"/>
      <c r="P18" s="14"/>
      <c r="Q18" s="109"/>
    </row>
    <row r="19" spans="1:17" x14ac:dyDescent="0.25">
      <c r="A19" s="14"/>
      <c r="B19" s="29"/>
      <c r="E19" s="28"/>
      <c r="F19" s="7"/>
      <c r="G19" s="7"/>
      <c r="H19" s="7"/>
      <c r="I19" s="12"/>
      <c r="N19" s="4"/>
      <c r="O19" s="27"/>
      <c r="P19" s="14"/>
      <c r="Q19" s="109"/>
    </row>
    <row r="20" spans="1:17" x14ac:dyDescent="0.25">
      <c r="A20" s="14"/>
      <c r="B20" s="29"/>
      <c r="C20" s="19">
        <f>SUM(C4:C19)</f>
        <v>827.69</v>
      </c>
      <c r="D20" s="19"/>
      <c r="E20" s="18"/>
      <c r="F20" s="19">
        <f>SUM(F4:F19)</f>
        <v>165.53800000000001</v>
      </c>
      <c r="G20" s="19"/>
      <c r="H20" s="19">
        <f>SUM(H4:H19)</f>
        <v>102.545872</v>
      </c>
      <c r="I20" s="19">
        <f>SUM(I4:I19)</f>
        <v>782.62547199999995</v>
      </c>
      <c r="M20" s="30"/>
      <c r="O20" s="19">
        <f ca="1">SUM(O4:O15)</f>
        <v>165.53800000000001</v>
      </c>
    </row>
    <row r="21" spans="1:17" x14ac:dyDescent="0.25">
      <c r="A21" s="14"/>
      <c r="B21" s="29"/>
      <c r="M21" s="30"/>
      <c r="O21" s="7">
        <f ca="1">F20-O20</f>
        <v>0</v>
      </c>
    </row>
    <row r="22" spans="1:17" x14ac:dyDescent="0.25">
      <c r="E22" s="107" t="s">
        <v>183</v>
      </c>
      <c r="F22" s="107"/>
      <c r="G22" s="107"/>
      <c r="M22" s="30"/>
    </row>
    <row r="23" spans="1:17" x14ac:dyDescent="0.25">
      <c r="M23" s="30"/>
    </row>
    <row r="24" spans="1:17" x14ac:dyDescent="0.25">
      <c r="M24" s="30"/>
    </row>
    <row r="25" spans="1:17" x14ac:dyDescent="0.25">
      <c r="M25" s="30"/>
    </row>
  </sheetData>
  <autoFilter ref="A3:K21">
    <sortState ref="A4:I18">
      <sortCondition ref="A3:A17"/>
    </sortState>
  </autoFilter>
  <sortState ref="A29:O31">
    <sortCondition ref="A2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A4" workbookViewId="0">
      <selection activeCell="A29" sqref="A29"/>
    </sheetView>
  </sheetViews>
  <sheetFormatPr defaultRowHeight="15" x14ac:dyDescent="0.25"/>
  <cols>
    <col min="1" max="1" width="36.7109375" style="67" customWidth="1"/>
    <col min="2" max="2" width="7.140625" style="65" customWidth="1"/>
    <col min="3" max="4" width="10.7109375" style="66" customWidth="1"/>
    <col min="5" max="5" width="2.140625" style="66" customWidth="1"/>
    <col min="6" max="6" width="35.28515625" style="67" customWidth="1"/>
    <col min="7" max="7" width="7.140625" style="65" customWidth="1"/>
    <col min="8" max="9" width="10.7109375" style="66" customWidth="1"/>
  </cols>
  <sheetData>
    <row r="1" spans="1:9" s="54" customFormat="1" ht="26.25" x14ac:dyDescent="0.4">
      <c r="A1" s="51" t="s">
        <v>57</v>
      </c>
      <c r="B1" s="52"/>
      <c r="C1" s="53"/>
      <c r="D1" s="53"/>
      <c r="E1" s="53"/>
      <c r="F1" s="51"/>
      <c r="G1" s="52"/>
      <c r="H1" s="53"/>
      <c r="I1" s="53"/>
    </row>
    <row r="2" spans="1:9" s="58" customFormat="1" x14ac:dyDescent="0.25">
      <c r="A2" s="55"/>
      <c r="B2" s="56"/>
      <c r="C2" s="57"/>
      <c r="D2" s="57"/>
      <c r="E2" s="57"/>
      <c r="F2" s="55"/>
      <c r="G2" s="56"/>
      <c r="H2" s="57"/>
      <c r="I2" s="57"/>
    </row>
    <row r="3" spans="1:9" s="63" customFormat="1" ht="18.75" x14ac:dyDescent="0.25">
      <c r="A3" s="59" t="s">
        <v>58</v>
      </c>
      <c r="B3" s="60"/>
      <c r="C3" s="61"/>
      <c r="D3" s="62"/>
      <c r="E3" s="62"/>
      <c r="F3" s="59"/>
      <c r="G3" s="60"/>
      <c r="H3" s="62"/>
      <c r="I3" s="62"/>
    </row>
    <row r="4" spans="1:9" x14ac:dyDescent="0.25">
      <c r="A4" s="64" t="s">
        <v>59</v>
      </c>
    </row>
    <row r="5" spans="1:9" x14ac:dyDescent="0.25">
      <c r="A5" s="64"/>
    </row>
    <row r="6" spans="1:9" s="18" customFormat="1" x14ac:dyDescent="0.25">
      <c r="A6" s="68" t="s">
        <v>60</v>
      </c>
      <c r="B6" s="69">
        <v>2017</v>
      </c>
      <c r="C6" s="70"/>
      <c r="D6" s="70"/>
      <c r="E6" s="70"/>
      <c r="F6" s="71"/>
      <c r="G6" s="69"/>
      <c r="H6" s="70"/>
      <c r="I6" s="70"/>
    </row>
    <row r="7" spans="1:9" x14ac:dyDescent="0.25">
      <c r="A7" s="64"/>
    </row>
    <row r="8" spans="1:9" s="18" customFormat="1" x14ac:dyDescent="0.25">
      <c r="A8" s="119" t="s">
        <v>61</v>
      </c>
      <c r="B8" s="72" t="s">
        <v>62</v>
      </c>
      <c r="C8" s="73" t="s">
        <v>63</v>
      </c>
      <c r="D8" s="73" t="s">
        <v>64</v>
      </c>
      <c r="E8" s="73"/>
      <c r="F8" s="119" t="s">
        <v>65</v>
      </c>
      <c r="G8" s="72" t="s">
        <v>62</v>
      </c>
      <c r="H8" s="73" t="s">
        <v>63</v>
      </c>
      <c r="I8" s="74" t="s">
        <v>64</v>
      </c>
    </row>
    <row r="9" spans="1:9" s="9" customFormat="1" x14ac:dyDescent="0.25">
      <c r="A9" s="120"/>
      <c r="B9" s="75"/>
      <c r="C9" s="76"/>
      <c r="D9" s="76"/>
      <c r="E9" s="76"/>
      <c r="F9" s="120"/>
      <c r="G9" s="75"/>
      <c r="H9" s="76"/>
      <c r="I9" s="77"/>
    </row>
    <row r="10" spans="1:9" x14ac:dyDescent="0.25">
      <c r="A10" s="121" t="s">
        <v>66</v>
      </c>
      <c r="B10" s="122">
        <v>1000</v>
      </c>
      <c r="C10" s="78">
        <f>-SUMIF(Cont!$K:$K,B10,Cont!$B:$B)</f>
        <v>0</v>
      </c>
      <c r="D10" s="123">
        <f>SUM(C10)</f>
        <v>0</v>
      </c>
      <c r="E10" s="123"/>
      <c r="F10" s="121" t="s">
        <v>67</v>
      </c>
      <c r="G10" s="122">
        <v>2000</v>
      </c>
      <c r="H10" s="78">
        <f>SUMIF(Cont!$K:$K,G10,Cont!$B:$B)</f>
        <v>200</v>
      </c>
      <c r="I10" s="123">
        <f>SUM(H10)</f>
        <v>200</v>
      </c>
    </row>
    <row r="11" spans="1:9" x14ac:dyDescent="0.25">
      <c r="A11" s="121"/>
      <c r="B11" s="122"/>
      <c r="C11" s="78"/>
      <c r="D11" s="123"/>
      <c r="E11" s="123"/>
      <c r="F11" s="121"/>
      <c r="G11" s="122"/>
      <c r="H11" s="78"/>
      <c r="I11" s="123"/>
    </row>
    <row r="12" spans="1:9" x14ac:dyDescent="0.25">
      <c r="A12" s="121" t="s">
        <v>68</v>
      </c>
      <c r="B12" s="122">
        <v>1100</v>
      </c>
      <c r="C12" s="78">
        <f>-SUMIF(Cont!$K:$K,B12,Cont!$B:$B)</f>
        <v>0</v>
      </c>
      <c r="D12" s="123">
        <f>SUM(C12)</f>
        <v>0</v>
      </c>
      <c r="E12" s="123"/>
      <c r="F12" s="121" t="s">
        <v>69</v>
      </c>
      <c r="G12" s="122">
        <v>2100</v>
      </c>
      <c r="H12" s="78">
        <f>SUMIF(Cont!$K:$K,G12,Cont!$B:$B)</f>
        <v>0</v>
      </c>
      <c r="I12" s="123">
        <f>SUM(H13:H14)</f>
        <v>0</v>
      </c>
    </row>
    <row r="13" spans="1:9" x14ac:dyDescent="0.25">
      <c r="A13" s="121"/>
      <c r="B13" s="122"/>
      <c r="C13" s="78"/>
      <c r="D13" s="123"/>
      <c r="E13" s="123"/>
      <c r="F13" s="120" t="s">
        <v>70</v>
      </c>
      <c r="G13" s="98">
        <v>2101</v>
      </c>
      <c r="H13" s="78">
        <f>SUMIF(Cont!$K:$K,G13,Cont!$B:$B)</f>
        <v>0</v>
      </c>
      <c r="I13" s="79"/>
    </row>
    <row r="14" spans="1:9" x14ac:dyDescent="0.25">
      <c r="A14" s="124" t="s">
        <v>71</v>
      </c>
      <c r="B14" s="122">
        <v>1200</v>
      </c>
      <c r="C14" s="78">
        <f>-SUMIF(Cont!$K:$K,B14,Cont!$B:$B)</f>
        <v>0</v>
      </c>
      <c r="D14" s="123">
        <f>SUM(C15:C22)</f>
        <v>860.16</v>
      </c>
      <c r="E14" s="123"/>
      <c r="F14" s="120" t="s">
        <v>72</v>
      </c>
      <c r="G14" s="98">
        <v>2102</v>
      </c>
      <c r="H14" s="78">
        <f>SUMIF(Cont!$K:$K,G14,Cont!$B:$B)</f>
        <v>0</v>
      </c>
      <c r="I14" s="79"/>
    </row>
    <row r="15" spans="1:9" x14ac:dyDescent="0.25">
      <c r="A15" s="125" t="s">
        <v>73</v>
      </c>
      <c r="B15" s="98">
        <v>1201</v>
      </c>
      <c r="C15" s="78">
        <f>-SUMIF(Cont!$K:$K,B15,Cont!$B:$B)</f>
        <v>0</v>
      </c>
      <c r="D15" s="78"/>
      <c r="E15" s="78"/>
      <c r="F15" s="80"/>
      <c r="G15" s="81"/>
      <c r="H15" s="82"/>
      <c r="I15" s="82"/>
    </row>
    <row r="16" spans="1:9" x14ac:dyDescent="0.25">
      <c r="A16" s="125" t="s">
        <v>74</v>
      </c>
      <c r="B16" s="98">
        <v>1202</v>
      </c>
      <c r="C16" s="78">
        <f>-SUMIF(Cont!$K:$K,B16,Cont!$B:$B)</f>
        <v>11.65</v>
      </c>
      <c r="D16" s="78"/>
      <c r="E16" s="78"/>
      <c r="F16" s="121" t="s">
        <v>75</v>
      </c>
      <c r="G16" s="122">
        <v>2200</v>
      </c>
      <c r="H16" s="78">
        <f>SUMIF(Cont!$K:$K,G16,Cont!$B:$B)</f>
        <v>0</v>
      </c>
      <c r="I16" s="123">
        <f>SUM(H17:H18)</f>
        <v>80</v>
      </c>
    </row>
    <row r="17" spans="1:9" x14ac:dyDescent="0.25">
      <c r="A17" s="125" t="s">
        <v>76</v>
      </c>
      <c r="B17" s="98">
        <v>1203</v>
      </c>
      <c r="C17" s="78">
        <f>-SUMIF(Cont!$K:$K,B17,Cont!$B:$B)</f>
        <v>0</v>
      </c>
      <c r="D17" s="78"/>
      <c r="E17" s="78"/>
      <c r="F17" s="120" t="s">
        <v>77</v>
      </c>
      <c r="G17" s="98">
        <v>2201</v>
      </c>
      <c r="H17" s="78">
        <f>SUMIF(Cont!$K:$K,G17,Cont!$B:$B)</f>
        <v>0</v>
      </c>
      <c r="I17" s="79"/>
    </row>
    <row r="18" spans="1:9" x14ac:dyDescent="0.25">
      <c r="A18" s="125" t="s">
        <v>78</v>
      </c>
      <c r="B18" s="98">
        <v>1204</v>
      </c>
      <c r="C18" s="78">
        <f>-SUMIF(Cont!$K:$K,B18,Cont!$B:$B)</f>
        <v>0</v>
      </c>
      <c r="D18" s="78"/>
      <c r="E18" s="78"/>
      <c r="F18" s="120" t="s">
        <v>79</v>
      </c>
      <c r="G18" s="98">
        <v>2202</v>
      </c>
      <c r="H18" s="78">
        <f>SUMIF(Cont!$K:$K,G18,Cont!$B:$B)</f>
        <v>80</v>
      </c>
      <c r="I18" s="79"/>
    </row>
    <row r="19" spans="1:9" x14ac:dyDescent="0.25">
      <c r="A19" s="120" t="s">
        <v>80</v>
      </c>
      <c r="B19" s="98">
        <v>1205</v>
      </c>
      <c r="C19" s="78">
        <f>-SUMIF(Cont!$K:$K,B19,Cont!$B:$B)</f>
        <v>0</v>
      </c>
      <c r="D19" s="78"/>
      <c r="E19" s="78"/>
      <c r="F19" s="80"/>
      <c r="G19" s="81"/>
      <c r="H19" s="82"/>
      <c r="I19" s="82"/>
    </row>
    <row r="20" spans="1:9" x14ac:dyDescent="0.25">
      <c r="A20" s="120" t="s">
        <v>81</v>
      </c>
      <c r="B20" s="98">
        <v>1206</v>
      </c>
      <c r="C20" s="78">
        <f>-SUMIF(Cont!$K:$K,B20,Cont!$B:$B)</f>
        <v>479.02</v>
      </c>
      <c r="D20" s="78"/>
      <c r="E20" s="78"/>
      <c r="F20" s="121" t="s">
        <v>82</v>
      </c>
      <c r="G20" s="122">
        <v>2300</v>
      </c>
      <c r="H20" s="78">
        <f>SUMIF(Cont!$K:$K,G20,Cont!$B:$B)</f>
        <v>0</v>
      </c>
      <c r="I20" s="123">
        <f>SUM(H21:H22)</f>
        <v>1093.5</v>
      </c>
    </row>
    <row r="21" spans="1:9" x14ac:dyDescent="0.25">
      <c r="A21" s="80" t="s">
        <v>83</v>
      </c>
      <c r="B21" s="81">
        <v>1207</v>
      </c>
      <c r="C21" s="78">
        <f>-SUMIF(Cont!$K:$K,B21,Cont!$B:$B)</f>
        <v>335.5</v>
      </c>
      <c r="D21" s="82"/>
      <c r="E21" s="82"/>
      <c r="F21" s="120" t="s">
        <v>84</v>
      </c>
      <c r="G21" s="98">
        <v>2301</v>
      </c>
      <c r="H21" s="78">
        <f>SUMIF(Cont!$K:$K,G21,Cont!$B:$B)</f>
        <v>1093.5</v>
      </c>
      <c r="I21" s="79"/>
    </row>
    <row r="22" spans="1:9" x14ac:dyDescent="0.25">
      <c r="A22" s="80" t="s">
        <v>85</v>
      </c>
      <c r="B22" s="81">
        <v>1208</v>
      </c>
      <c r="C22" s="78">
        <f>-SUMIF(Cont!$K:$K,B22,Cont!$B:$B)</f>
        <v>33.99</v>
      </c>
      <c r="D22" s="82"/>
      <c r="E22" s="82"/>
      <c r="F22" s="120" t="s">
        <v>86</v>
      </c>
      <c r="G22" s="98">
        <v>2302</v>
      </c>
      <c r="H22" s="78">
        <f>SUMIF(Cont!$K:$K,G22,Cont!$B:$B)</f>
        <v>0</v>
      </c>
      <c r="I22" s="79"/>
    </row>
    <row r="23" spans="1:9" x14ac:dyDescent="0.25">
      <c r="A23" s="80"/>
      <c r="B23" s="81"/>
      <c r="C23" s="78"/>
      <c r="D23" s="82"/>
      <c r="E23" s="82"/>
      <c r="F23" s="80"/>
      <c r="G23" s="81"/>
      <c r="H23" s="82"/>
      <c r="I23" s="82"/>
    </row>
    <row r="24" spans="1:9" x14ac:dyDescent="0.25">
      <c r="A24" s="121" t="s">
        <v>82</v>
      </c>
      <c r="B24" s="122">
        <v>1300</v>
      </c>
      <c r="C24" s="78">
        <f>-SUMIF(Cont!$K:$K,B24,Cont!$B:$B)</f>
        <v>0</v>
      </c>
      <c r="D24" s="123">
        <f>SUM(C25:C28)</f>
        <v>995.53</v>
      </c>
      <c r="E24" s="123"/>
      <c r="F24" s="121" t="s">
        <v>87</v>
      </c>
      <c r="G24" s="122">
        <v>2400</v>
      </c>
      <c r="H24" s="78">
        <f>SUMIF(Cont!$K:$K,G24,Cont!$B:$B)</f>
        <v>0</v>
      </c>
      <c r="I24" s="123">
        <f>SUM(H25)</f>
        <v>0</v>
      </c>
    </row>
    <row r="25" spans="1:9" x14ac:dyDescent="0.25">
      <c r="A25" s="120" t="s">
        <v>260</v>
      </c>
      <c r="B25" s="98">
        <v>1301</v>
      </c>
      <c r="C25" s="78">
        <f>-SUMIF(Cont!$K:$K,B25,Cont!$B:$B)</f>
        <v>233.6</v>
      </c>
      <c r="D25" s="78"/>
      <c r="E25" s="78"/>
      <c r="F25" s="120" t="s">
        <v>88</v>
      </c>
      <c r="G25" s="98">
        <v>2401</v>
      </c>
      <c r="H25" s="78">
        <f>SUMIF(Cont!$K:$K,G25,Cont!$B:$B)</f>
        <v>0</v>
      </c>
      <c r="I25" s="79"/>
    </row>
    <row r="26" spans="1:9" x14ac:dyDescent="0.25">
      <c r="A26" s="120" t="s">
        <v>89</v>
      </c>
      <c r="B26" s="98">
        <v>1302</v>
      </c>
      <c r="C26" s="78">
        <f>-SUMIF(Cont!$K:$K,B26,Cont!$B:$B)</f>
        <v>295.02</v>
      </c>
      <c r="D26" s="78"/>
      <c r="E26" s="78"/>
      <c r="F26" s="80"/>
      <c r="G26" s="81"/>
      <c r="H26" s="82"/>
      <c r="I26" s="82"/>
    </row>
    <row r="27" spans="1:9" x14ac:dyDescent="0.25">
      <c r="A27" s="120" t="s">
        <v>259</v>
      </c>
      <c r="B27" s="98">
        <v>1303</v>
      </c>
      <c r="C27" s="78">
        <f>-SUMIF(Cont!$K:$K,B27,Cont!$B:$B)</f>
        <v>138.91000000000003</v>
      </c>
      <c r="D27" s="78"/>
      <c r="E27" s="78"/>
      <c r="F27" s="80"/>
      <c r="G27" s="81"/>
      <c r="H27" s="82"/>
      <c r="I27" s="82"/>
    </row>
    <row r="28" spans="1:9" x14ac:dyDescent="0.25">
      <c r="A28" s="80" t="s">
        <v>263</v>
      </c>
      <c r="B28" s="98">
        <v>1304</v>
      </c>
      <c r="C28" s="78">
        <f>-SUMIF(Cont!$K:$K,B28,Cont!$B:$B)</f>
        <v>328</v>
      </c>
      <c r="D28" s="78"/>
      <c r="E28" s="78"/>
      <c r="F28" s="83"/>
      <c r="G28" s="84"/>
      <c r="H28" s="78">
        <f>SUMIF(Cont!$K:$K,G28,Cont!$B:$B)</f>
        <v>0</v>
      </c>
      <c r="I28" s="79"/>
    </row>
    <row r="29" spans="1:9" x14ac:dyDescent="0.25">
      <c r="A29" s="80"/>
      <c r="B29" s="98"/>
      <c r="C29" s="78"/>
      <c r="D29" s="78"/>
      <c r="E29" s="78"/>
      <c r="F29" s="83"/>
      <c r="G29" s="84"/>
      <c r="H29" s="78"/>
      <c r="I29" s="79"/>
    </row>
    <row r="30" spans="1:9" x14ac:dyDescent="0.25">
      <c r="A30" s="121" t="s">
        <v>90</v>
      </c>
      <c r="B30" s="122">
        <v>1400</v>
      </c>
      <c r="C30" s="78">
        <f>-SUMIF(Cont!$K:$K,B30,Cont!$B:$B)</f>
        <v>0</v>
      </c>
      <c r="D30" s="123">
        <f>SUM(C31)</f>
        <v>15</v>
      </c>
      <c r="E30" s="123"/>
      <c r="F30" s="83"/>
      <c r="G30" s="84"/>
      <c r="H30" s="78">
        <f>SUMIF(Cont!$K:$K,G30,Cont!$B:$B)</f>
        <v>0</v>
      </c>
      <c r="I30" s="79"/>
    </row>
    <row r="31" spans="1:9" x14ac:dyDescent="0.25">
      <c r="A31" s="120" t="s">
        <v>91</v>
      </c>
      <c r="B31" s="98">
        <v>1401</v>
      </c>
      <c r="C31" s="78">
        <f>-SUMIF(Cont!$K:$K,B31,Cont!$B:$B)</f>
        <v>15</v>
      </c>
      <c r="D31" s="78"/>
      <c r="E31" s="78"/>
      <c r="F31" s="83"/>
      <c r="G31" s="84"/>
      <c r="H31" s="78">
        <f>SUMIF(Cont!$K:$K,G31,Cont!$B:$B)</f>
        <v>0</v>
      </c>
      <c r="I31" s="79"/>
    </row>
    <row r="32" spans="1:9" x14ac:dyDescent="0.25">
      <c r="A32" s="120"/>
      <c r="B32" s="98"/>
      <c r="C32" s="78"/>
      <c r="D32" s="78"/>
      <c r="E32" s="78"/>
      <c r="F32" s="83"/>
      <c r="G32" s="84"/>
      <c r="H32" s="78"/>
      <c r="I32" s="79"/>
    </row>
    <row r="33" spans="1:9" s="18" customFormat="1" x14ac:dyDescent="0.25">
      <c r="A33" s="126" t="s">
        <v>92</v>
      </c>
      <c r="B33" s="85"/>
      <c r="C33" s="78">
        <f>-SUMIF(Cont!$K:$K,B33,Cont!$B:$B)</f>
        <v>0</v>
      </c>
      <c r="D33" s="123"/>
      <c r="E33" s="123"/>
      <c r="F33" s="119" t="s">
        <v>93</v>
      </c>
      <c r="G33" s="85"/>
      <c r="H33" s="78">
        <f>SUMIF(Cont!$K:$K,G33,Cont!$B:$B)</f>
        <v>0</v>
      </c>
      <c r="I33" s="123"/>
    </row>
    <row r="34" spans="1:9" s="9" customFormat="1" x14ac:dyDescent="0.25">
      <c r="A34" s="120"/>
      <c r="B34" s="84"/>
      <c r="C34" s="78"/>
      <c r="D34" s="127"/>
      <c r="E34" s="127"/>
      <c r="F34" s="120"/>
      <c r="G34" s="84"/>
      <c r="H34" s="78"/>
      <c r="I34" s="123"/>
    </row>
    <row r="35" spans="1:9" x14ac:dyDescent="0.25">
      <c r="A35" s="121" t="s">
        <v>94</v>
      </c>
      <c r="B35" s="122">
        <v>1500</v>
      </c>
      <c r="C35" s="78">
        <f>-SUMIF(Cont!$K:$K,B35,Cont!$B:$B)</f>
        <v>0</v>
      </c>
      <c r="D35" s="123">
        <f>SUM(C36:C38)</f>
        <v>703.3</v>
      </c>
      <c r="E35" s="123"/>
      <c r="F35" s="121" t="s">
        <v>95</v>
      </c>
      <c r="G35" s="122">
        <v>2500</v>
      </c>
      <c r="H35" s="78">
        <f>SUMIF(Cont!$K:$K,G35,Cont!$B:$B)</f>
        <v>0</v>
      </c>
      <c r="I35" s="123">
        <f>SUM(H36:H37)</f>
        <v>0</v>
      </c>
    </row>
    <row r="36" spans="1:9" x14ac:dyDescent="0.25">
      <c r="A36" s="120" t="s">
        <v>96</v>
      </c>
      <c r="B36" s="98">
        <v>1501</v>
      </c>
      <c r="C36" s="78">
        <f>-SUMIF(Cont!$K:$K,B36,Cont!$B:$B)</f>
        <v>0</v>
      </c>
      <c r="D36" s="78"/>
      <c r="E36" s="78"/>
      <c r="F36" s="120" t="s">
        <v>97</v>
      </c>
      <c r="G36" s="98">
        <v>2501</v>
      </c>
      <c r="H36" s="78">
        <f>SUMIF(Cont!$K:$K,G36,Cont!$B:$B)</f>
        <v>0</v>
      </c>
      <c r="I36" s="79"/>
    </row>
    <row r="37" spans="1:9" x14ac:dyDescent="0.25">
      <c r="A37" s="120" t="s">
        <v>98</v>
      </c>
      <c r="B37" s="98">
        <v>1502</v>
      </c>
      <c r="C37" s="78">
        <f>-SUMIF(Cont!$K:$K,B37,Cont!$B:$B)</f>
        <v>448.56999999999994</v>
      </c>
      <c r="D37" s="78"/>
      <c r="E37" s="78"/>
      <c r="F37" s="120" t="s">
        <v>99</v>
      </c>
      <c r="G37" s="98">
        <v>2502</v>
      </c>
      <c r="H37" s="78">
        <f>SUMIF(Cont!$K:$K,G37,Cont!$B:$B)</f>
        <v>0</v>
      </c>
      <c r="I37" s="79"/>
    </row>
    <row r="38" spans="1:9" x14ac:dyDescent="0.25">
      <c r="A38" s="120" t="s">
        <v>100</v>
      </c>
      <c r="B38" s="98">
        <v>1503</v>
      </c>
      <c r="C38" s="78">
        <f>-SUMIF(Cont!$K:$K,B38,Cont!$B:$B)</f>
        <v>254.73</v>
      </c>
      <c r="D38" s="78"/>
      <c r="E38" s="78"/>
      <c r="F38" s="80"/>
      <c r="G38" s="81"/>
      <c r="H38" s="82"/>
      <c r="I38" s="82"/>
    </row>
    <row r="39" spans="1:9" x14ac:dyDescent="0.25">
      <c r="A39" s="120"/>
      <c r="B39" s="98"/>
      <c r="C39" s="78"/>
      <c r="D39" s="78"/>
      <c r="E39" s="78"/>
      <c r="F39" s="121" t="s">
        <v>101</v>
      </c>
      <c r="G39" s="122">
        <v>2600</v>
      </c>
      <c r="H39" s="78">
        <f>SUMIF(Cont!$K:$K,G39,Cont!$B:$B)</f>
        <v>0</v>
      </c>
      <c r="I39" s="123">
        <f>SUM(H40:H41)</f>
        <v>417.9</v>
      </c>
    </row>
    <row r="40" spans="1:9" x14ac:dyDescent="0.25">
      <c r="A40" s="121" t="s">
        <v>102</v>
      </c>
      <c r="B40" s="122">
        <v>1600</v>
      </c>
      <c r="C40" s="78">
        <f>-SUMIF(Cont!$K:$K,B40,Cont!$B:$B)</f>
        <v>0</v>
      </c>
      <c r="D40" s="123">
        <f>SUM(C41:C43)</f>
        <v>1.99</v>
      </c>
      <c r="E40" s="123"/>
      <c r="F40" s="120" t="s">
        <v>103</v>
      </c>
      <c r="G40" s="98">
        <v>2601</v>
      </c>
      <c r="H40" s="78">
        <f>SUMIF(Cont!$K:$K,G40,Cont!$B:$B)</f>
        <v>417.9</v>
      </c>
      <c r="I40" s="79"/>
    </row>
    <row r="41" spans="1:9" x14ac:dyDescent="0.25">
      <c r="A41" s="120" t="s">
        <v>261</v>
      </c>
      <c r="B41" s="98">
        <v>1601</v>
      </c>
      <c r="C41" s="78">
        <f>-SUMIF(Cont!$K:$K,B41,Cont!$B:$B)</f>
        <v>0</v>
      </c>
      <c r="D41" s="78"/>
      <c r="E41" s="78"/>
      <c r="F41" s="120" t="s">
        <v>104</v>
      </c>
      <c r="G41" s="98">
        <v>2602</v>
      </c>
      <c r="H41" s="78">
        <f>SUMIF(Cont!$K:$K,G41,Cont!$B:$B)</f>
        <v>0</v>
      </c>
      <c r="I41" s="79"/>
    </row>
    <row r="42" spans="1:9" x14ac:dyDescent="0.25">
      <c r="A42" s="120" t="s">
        <v>105</v>
      </c>
      <c r="B42" s="98">
        <v>1602</v>
      </c>
      <c r="C42" s="78">
        <f>-SUMIF(Cont!$K:$K,B42,Cont!$B:$B)</f>
        <v>1.99</v>
      </c>
      <c r="D42" s="78"/>
      <c r="E42" s="78"/>
      <c r="F42" s="120"/>
      <c r="G42" s="98"/>
      <c r="H42" s="78"/>
      <c r="I42" s="79"/>
    </row>
    <row r="43" spans="1:9" x14ac:dyDescent="0.25">
      <c r="A43" s="120" t="s">
        <v>143</v>
      </c>
      <c r="B43" s="98">
        <v>1603</v>
      </c>
      <c r="C43" s="78">
        <f>-SUMIF(Cont!$K:$K,B43,Cont!$B:$B)</f>
        <v>0</v>
      </c>
      <c r="D43" s="78"/>
      <c r="E43" s="78"/>
      <c r="F43" s="121" t="s">
        <v>106</v>
      </c>
      <c r="G43" s="122">
        <v>2700</v>
      </c>
      <c r="H43" s="78">
        <f>SUMIF(Cont!$K:$K,G43,Cont!$B:$B)</f>
        <v>0</v>
      </c>
      <c r="I43" s="123">
        <f>SUM(H44:H45)</f>
        <v>0</v>
      </c>
    </row>
    <row r="44" spans="1:9" x14ac:dyDescent="0.25">
      <c r="A44" s="83"/>
      <c r="B44" s="84"/>
      <c r="C44" s="78">
        <f>-SUMIF(Cont!$K:$K,B44,Cont!$B:$B)</f>
        <v>0</v>
      </c>
      <c r="D44" s="78"/>
      <c r="E44" s="78"/>
      <c r="F44" s="120" t="s">
        <v>107</v>
      </c>
      <c r="G44" s="98">
        <v>2701</v>
      </c>
      <c r="H44" s="78">
        <f>SUMIF(Cont!$K:$K,G44,Cont!$B:$B)</f>
        <v>0</v>
      </c>
      <c r="I44" s="79"/>
    </row>
    <row r="45" spans="1:9" x14ac:dyDescent="0.25">
      <c r="A45" s="121" t="s">
        <v>104</v>
      </c>
      <c r="B45" s="122">
        <v>1700</v>
      </c>
      <c r="C45" s="78">
        <f>-SUMIF(Cont!$K:$K,B45,Cont!$B:$B)</f>
        <v>140</v>
      </c>
      <c r="D45" s="123">
        <f>SUM(C45)</f>
        <v>140</v>
      </c>
      <c r="E45" s="123"/>
      <c r="F45" s="120" t="s">
        <v>108</v>
      </c>
      <c r="G45" s="98">
        <v>2702</v>
      </c>
      <c r="H45" s="78">
        <f>SUMIF(Cont!$K:$K,G45,Cont!$B:$B)</f>
        <v>0</v>
      </c>
      <c r="I45" s="79"/>
    </row>
    <row r="46" spans="1:9" x14ac:dyDescent="0.25">
      <c r="A46" s="121"/>
      <c r="B46" s="122"/>
      <c r="C46" s="78"/>
      <c r="D46" s="123"/>
      <c r="E46" s="123"/>
      <c r="F46" s="120"/>
      <c r="G46" s="98"/>
      <c r="H46" s="78"/>
      <c r="I46" s="79"/>
    </row>
    <row r="47" spans="1:9" x14ac:dyDescent="0.25">
      <c r="A47" s="121"/>
      <c r="B47" s="122"/>
      <c r="C47" s="78"/>
      <c r="D47" s="123"/>
      <c r="E47" s="78"/>
      <c r="F47" s="121" t="s">
        <v>109</v>
      </c>
      <c r="G47" s="122">
        <v>2800</v>
      </c>
      <c r="H47" s="78">
        <f>SUMIF(Cont!$K:$K,G47,Cont!$B:$B)</f>
        <v>0</v>
      </c>
      <c r="I47" s="123">
        <f>SUM(H47)</f>
        <v>0</v>
      </c>
    </row>
    <row r="48" spans="1:9" x14ac:dyDescent="0.25">
      <c r="A48" s="121"/>
      <c r="B48" s="122"/>
      <c r="C48" s="78"/>
      <c r="D48" s="123"/>
      <c r="E48" s="78"/>
      <c r="F48" s="121"/>
      <c r="G48" s="122"/>
      <c r="H48" s="86"/>
      <c r="I48" s="123"/>
    </row>
    <row r="49" spans="1:9" s="18" customFormat="1" x14ac:dyDescent="0.25">
      <c r="A49" s="121" t="s">
        <v>110</v>
      </c>
      <c r="B49" s="85"/>
      <c r="C49" s="123" t="s">
        <v>111</v>
      </c>
      <c r="D49" s="86">
        <f>SUM(D10:D45)</f>
        <v>2715.9799999999996</v>
      </c>
      <c r="E49" s="86"/>
      <c r="F49" s="121" t="s">
        <v>112</v>
      </c>
      <c r="G49" s="85"/>
      <c r="H49" s="86" t="s">
        <v>113</v>
      </c>
      <c r="I49" s="86">
        <f>SUM(I10:I47)</f>
        <v>1791.4</v>
      </c>
    </row>
    <row r="50" spans="1:9" s="18" customFormat="1" x14ac:dyDescent="0.25">
      <c r="A50" s="121"/>
      <c r="B50" s="85"/>
      <c r="C50" s="123"/>
      <c r="D50" s="86"/>
      <c r="E50" s="86"/>
      <c r="F50" s="121"/>
      <c r="G50" s="85"/>
      <c r="H50" s="86"/>
      <c r="I50" s="86"/>
    </row>
    <row r="51" spans="1:9" s="18" customFormat="1" x14ac:dyDescent="0.25">
      <c r="A51" s="121" t="s">
        <v>114</v>
      </c>
      <c r="B51" s="85"/>
      <c r="C51" s="123" t="s">
        <v>115</v>
      </c>
      <c r="D51" s="86">
        <f>MIN($I$49-$D$49,0)</f>
        <v>-924.57999999999947</v>
      </c>
      <c r="E51" s="87"/>
      <c r="F51" s="121" t="s">
        <v>116</v>
      </c>
      <c r="G51" s="85"/>
      <c r="H51" s="86" t="s">
        <v>117</v>
      </c>
      <c r="I51" s="86">
        <f>MAX($I$49-$D$49,0)</f>
        <v>0</v>
      </c>
    </row>
    <row r="52" spans="1:9" s="18" customFormat="1" x14ac:dyDescent="0.25">
      <c r="A52" s="121"/>
      <c r="B52" s="85"/>
      <c r="C52" s="123"/>
      <c r="D52" s="86"/>
      <c r="E52" s="86"/>
      <c r="F52" s="121"/>
      <c r="G52" s="85"/>
      <c r="H52" s="86"/>
      <c r="I52" s="86"/>
    </row>
    <row r="53" spans="1:9" s="18" customFormat="1" x14ac:dyDescent="0.25">
      <c r="A53" s="121" t="s">
        <v>118</v>
      </c>
      <c r="B53" s="85"/>
      <c r="C53" s="123" t="s">
        <v>113</v>
      </c>
      <c r="D53" s="86">
        <f>SUM(D49:D52)</f>
        <v>1791.4</v>
      </c>
      <c r="E53" s="87"/>
      <c r="F53" s="121" t="s">
        <v>118</v>
      </c>
      <c r="G53" s="85"/>
      <c r="H53" s="86" t="s">
        <v>113</v>
      </c>
      <c r="I53" s="86">
        <f>SUM(I49:I52)</f>
        <v>1791.4</v>
      </c>
    </row>
    <row r="54" spans="1:9" s="18" customFormat="1" x14ac:dyDescent="0.25">
      <c r="A54" s="128"/>
      <c r="B54" s="88"/>
      <c r="C54" s="129"/>
      <c r="D54" s="89"/>
      <c r="E54" s="70"/>
      <c r="F54" s="128"/>
      <c r="G54" s="88"/>
      <c r="H54" s="89"/>
      <c r="I54" s="89"/>
    </row>
    <row r="55" spans="1:9" x14ac:dyDescent="0.25">
      <c r="A55" s="90" t="s">
        <v>119</v>
      </c>
    </row>
    <row r="56" spans="1:9" x14ac:dyDescent="0.25">
      <c r="A56" s="90"/>
    </row>
    <row r="57" spans="1:9" x14ac:dyDescent="0.25">
      <c r="A57" s="90"/>
      <c r="E57" s="91"/>
    </row>
    <row r="58" spans="1:9" s="18" customFormat="1" x14ac:dyDescent="0.25">
      <c r="A58" s="68" t="s">
        <v>120</v>
      </c>
      <c r="B58" s="150"/>
      <c r="C58" s="151" t="str">
        <f>"01/01/"&amp;$B$6</f>
        <v>01/01/2017</v>
      </c>
      <c r="D58" s="152"/>
      <c r="E58" s="153"/>
      <c r="F58" s="150" t="s">
        <v>121</v>
      </c>
      <c r="G58" s="150"/>
      <c r="H58" s="151" t="str">
        <f>"31/12/"&amp;$B$6</f>
        <v>31/12/2017</v>
      </c>
      <c r="I58" s="152"/>
    </row>
    <row r="59" spans="1:9" s="58" customFormat="1" x14ac:dyDescent="0.25">
      <c r="A59" s="92" t="s">
        <v>13</v>
      </c>
      <c r="B59" s="93">
        <v>3001</v>
      </c>
      <c r="C59" s="91">
        <f>SUMIF(Cont!$K:$K,B59,Cont!$B:$B)</f>
        <v>1123.79</v>
      </c>
      <c r="D59" s="91"/>
      <c r="E59" s="91"/>
      <c r="F59" s="94" t="s">
        <v>13</v>
      </c>
      <c r="G59" s="56"/>
      <c r="H59" s="57">
        <f>Cont!B110</f>
        <v>314.01</v>
      </c>
      <c r="I59" s="57"/>
    </row>
    <row r="60" spans="1:9" s="58" customFormat="1" x14ac:dyDescent="0.25">
      <c r="A60" s="92" t="s">
        <v>19</v>
      </c>
      <c r="B60" s="93">
        <v>3002</v>
      </c>
      <c r="C60" s="91">
        <f>SUMIF(Cont!$K:$K,B60,Cont!$B:$B)</f>
        <v>969.23999999999978</v>
      </c>
      <c r="D60" s="91"/>
      <c r="E60" s="57"/>
      <c r="F60" s="94" t="s">
        <v>19</v>
      </c>
      <c r="G60" s="56"/>
      <c r="H60" s="57">
        <f>Cont!B114</f>
        <v>846.33</v>
      </c>
      <c r="I60" s="57"/>
    </row>
    <row r="61" spans="1:9" s="58" customFormat="1" x14ac:dyDescent="0.25">
      <c r="A61" s="92" t="s">
        <v>168</v>
      </c>
      <c r="B61" s="93">
        <v>3003</v>
      </c>
      <c r="C61" s="91">
        <f>SUMIF(Cont!$K:$K,B61,Cont!$B:$B)</f>
        <v>550.36</v>
      </c>
      <c r="D61" s="91"/>
      <c r="E61" s="57"/>
      <c r="F61" s="92" t="s">
        <v>168</v>
      </c>
      <c r="G61" s="56"/>
      <c r="H61" s="57">
        <f>Cont!B118</f>
        <v>558.47</v>
      </c>
      <c r="I61" s="57"/>
    </row>
    <row r="62" spans="1:9" s="58" customFormat="1" x14ac:dyDescent="0.25">
      <c r="A62" s="55"/>
      <c r="B62" s="56"/>
      <c r="C62" s="95">
        <f>SUM(C59:C61)</f>
        <v>2643.39</v>
      </c>
      <c r="D62" s="57"/>
      <c r="E62" s="57"/>
      <c r="F62" s="55"/>
      <c r="G62" s="56"/>
      <c r="H62" s="95">
        <f>SUM(H59:H61)</f>
        <v>1718.8100000000002</v>
      </c>
      <c r="I62" s="57"/>
    </row>
    <row r="64" spans="1:9" x14ac:dyDescent="0.25">
      <c r="H64" s="66">
        <f>(D51+I51)-(H62-C62)</f>
        <v>0</v>
      </c>
    </row>
  </sheetData>
  <autoFilter ref="A8:I51"/>
  <conditionalFormatting sqref="H64">
    <cfRule type="cellIs" dxfId="15" priority="1" operator="notBetween">
      <formula>-0.01</formula>
      <formula>0.01</formula>
    </cfRule>
  </conditionalFormatting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3" workbookViewId="0">
      <selection activeCell="A37" sqref="A37:XFD37"/>
    </sheetView>
  </sheetViews>
  <sheetFormatPr defaultRowHeight="15" x14ac:dyDescent="0.25"/>
  <cols>
    <col min="1" max="1" width="22.7109375" style="45" customWidth="1"/>
    <col min="2" max="2" width="39.85546875" style="45" customWidth="1"/>
    <col min="3" max="3" width="9.140625" style="45"/>
    <col min="4" max="4" width="33.140625" customWidth="1"/>
  </cols>
  <sheetData>
    <row r="1" spans="1:5" s="26" customFormat="1" ht="18.75" x14ac:dyDescent="0.3">
      <c r="A1" s="97" t="s">
        <v>122</v>
      </c>
      <c r="B1" s="97"/>
      <c r="C1" s="97"/>
    </row>
    <row r="3" spans="1:5" s="18" customFormat="1" x14ac:dyDescent="0.25">
      <c r="A3" s="130" t="s">
        <v>123</v>
      </c>
      <c r="B3" s="130" t="s">
        <v>123</v>
      </c>
      <c r="C3" s="131" t="s">
        <v>62</v>
      </c>
      <c r="D3" s="130" t="s">
        <v>123</v>
      </c>
      <c r="E3" s="131" t="s">
        <v>62</v>
      </c>
    </row>
    <row r="4" spans="1:5" s="58" customFormat="1" x14ac:dyDescent="0.25">
      <c r="A4" s="132" t="s">
        <v>61</v>
      </c>
      <c r="B4" s="121" t="s">
        <v>66</v>
      </c>
      <c r="C4" s="122">
        <v>1000</v>
      </c>
      <c r="D4" s="133" t="s">
        <v>128</v>
      </c>
      <c r="E4" s="98">
        <v>1000</v>
      </c>
    </row>
    <row r="5" spans="1:5" s="58" customFormat="1" x14ac:dyDescent="0.25">
      <c r="A5" s="134"/>
      <c r="B5" s="121" t="s">
        <v>68</v>
      </c>
      <c r="C5" s="122">
        <v>1100</v>
      </c>
      <c r="D5" s="133" t="s">
        <v>68</v>
      </c>
      <c r="E5" s="98">
        <v>1100</v>
      </c>
    </row>
    <row r="6" spans="1:5" s="58" customFormat="1" x14ac:dyDescent="0.25">
      <c r="A6" s="134"/>
      <c r="B6" s="135" t="s">
        <v>71</v>
      </c>
      <c r="C6" s="136">
        <v>1200</v>
      </c>
      <c r="D6" s="137" t="s">
        <v>130</v>
      </c>
      <c r="E6" s="98">
        <v>1201</v>
      </c>
    </row>
    <row r="7" spans="1:5" s="58" customFormat="1" x14ac:dyDescent="0.25">
      <c r="A7" s="134"/>
      <c r="B7" s="134"/>
      <c r="C7" s="134"/>
      <c r="D7" s="137" t="s">
        <v>131</v>
      </c>
      <c r="E7" s="98">
        <v>1202</v>
      </c>
    </row>
    <row r="8" spans="1:5" s="58" customFormat="1" x14ac:dyDescent="0.25">
      <c r="A8" s="134"/>
      <c r="B8" s="134"/>
      <c r="C8" s="134"/>
      <c r="D8" s="137" t="s">
        <v>129</v>
      </c>
      <c r="E8" s="98">
        <v>1203</v>
      </c>
    </row>
    <row r="9" spans="1:5" s="58" customFormat="1" x14ac:dyDescent="0.25">
      <c r="A9" s="134"/>
      <c r="B9" s="134"/>
      <c r="C9" s="134"/>
      <c r="D9" s="137" t="s">
        <v>132</v>
      </c>
      <c r="E9" s="98">
        <v>1204</v>
      </c>
    </row>
    <row r="10" spans="1:5" s="58" customFormat="1" x14ac:dyDescent="0.25">
      <c r="A10" s="134"/>
      <c r="B10" s="134"/>
      <c r="C10" s="134"/>
      <c r="D10" s="133" t="s">
        <v>133</v>
      </c>
      <c r="E10" s="98">
        <v>1205</v>
      </c>
    </row>
    <row r="11" spans="1:5" s="58" customFormat="1" x14ac:dyDescent="0.25">
      <c r="A11" s="134"/>
      <c r="B11" s="134"/>
      <c r="C11" s="134"/>
      <c r="D11" s="133" t="s">
        <v>81</v>
      </c>
      <c r="E11" s="98">
        <v>1206</v>
      </c>
    </row>
    <row r="12" spans="1:5" s="58" customFormat="1" x14ac:dyDescent="0.25">
      <c r="A12" s="134"/>
      <c r="B12" s="134"/>
      <c r="C12" s="134"/>
      <c r="D12" s="138" t="s">
        <v>134</v>
      </c>
      <c r="E12" s="81">
        <v>1207</v>
      </c>
    </row>
    <row r="13" spans="1:5" s="58" customFormat="1" x14ac:dyDescent="0.25">
      <c r="A13" s="134"/>
      <c r="B13" s="139"/>
      <c r="C13" s="139"/>
      <c r="D13" s="138" t="s">
        <v>85</v>
      </c>
      <c r="E13" s="81">
        <v>1208</v>
      </c>
    </row>
    <row r="14" spans="1:5" s="58" customFormat="1" x14ac:dyDescent="0.25">
      <c r="A14" s="134"/>
      <c r="B14" s="140" t="s">
        <v>82</v>
      </c>
      <c r="C14" s="136">
        <v>1300</v>
      </c>
      <c r="D14" s="133" t="s">
        <v>135</v>
      </c>
      <c r="E14" s="98">
        <v>1301</v>
      </c>
    </row>
    <row r="15" spans="1:5" s="58" customFormat="1" x14ac:dyDescent="0.25">
      <c r="A15" s="134"/>
      <c r="B15" s="134"/>
      <c r="C15" s="134"/>
      <c r="D15" s="133" t="s">
        <v>136</v>
      </c>
      <c r="E15" s="98">
        <v>1302</v>
      </c>
    </row>
    <row r="16" spans="1:5" s="58" customFormat="1" x14ac:dyDescent="0.25">
      <c r="A16" s="134"/>
      <c r="B16" s="134"/>
      <c r="C16" s="134"/>
      <c r="D16" s="133" t="s">
        <v>142</v>
      </c>
      <c r="E16" s="98">
        <v>1303</v>
      </c>
    </row>
    <row r="17" spans="1:5" s="58" customFormat="1" x14ac:dyDescent="0.25">
      <c r="A17" s="134"/>
      <c r="B17" s="139"/>
      <c r="C17" s="139"/>
      <c r="D17" s="138" t="s">
        <v>137</v>
      </c>
      <c r="E17" s="98">
        <v>1304</v>
      </c>
    </row>
    <row r="18" spans="1:5" s="58" customFormat="1" x14ac:dyDescent="0.25">
      <c r="A18" s="139"/>
      <c r="B18" s="121" t="s">
        <v>90</v>
      </c>
      <c r="C18" s="122">
        <v>1400</v>
      </c>
      <c r="D18" s="133" t="s">
        <v>91</v>
      </c>
      <c r="E18" s="98">
        <v>1401</v>
      </c>
    </row>
    <row r="19" spans="1:5" s="58" customFormat="1" x14ac:dyDescent="0.25">
      <c r="A19" s="141" t="s">
        <v>92</v>
      </c>
      <c r="B19" s="140" t="s">
        <v>94</v>
      </c>
      <c r="C19" s="136">
        <v>1500</v>
      </c>
      <c r="D19" s="133" t="s">
        <v>138</v>
      </c>
      <c r="E19" s="98">
        <v>1501</v>
      </c>
    </row>
    <row r="20" spans="1:5" s="58" customFormat="1" x14ac:dyDescent="0.25">
      <c r="A20" s="134"/>
      <c r="B20" s="134"/>
      <c r="C20" s="134"/>
      <c r="D20" s="133" t="s">
        <v>139</v>
      </c>
      <c r="E20" s="98">
        <v>1502</v>
      </c>
    </row>
    <row r="21" spans="1:5" s="58" customFormat="1" x14ac:dyDescent="0.25">
      <c r="A21" s="134"/>
      <c r="B21" s="139"/>
      <c r="C21" s="139"/>
      <c r="D21" s="133" t="s">
        <v>100</v>
      </c>
      <c r="E21" s="98">
        <v>1503</v>
      </c>
    </row>
    <row r="22" spans="1:5" s="58" customFormat="1" x14ac:dyDescent="0.25">
      <c r="A22" s="134"/>
      <c r="B22" s="140" t="s">
        <v>102</v>
      </c>
      <c r="C22" s="136">
        <v>1600</v>
      </c>
      <c r="D22" s="133" t="s">
        <v>140</v>
      </c>
      <c r="E22" s="98">
        <v>1601</v>
      </c>
    </row>
    <row r="23" spans="1:5" s="58" customFormat="1" x14ac:dyDescent="0.25">
      <c r="A23" s="134"/>
      <c r="B23" s="134"/>
      <c r="C23" s="134"/>
      <c r="D23" s="133" t="s">
        <v>141</v>
      </c>
      <c r="E23" s="98">
        <v>1602</v>
      </c>
    </row>
    <row r="24" spans="1:5" s="58" customFormat="1" x14ac:dyDescent="0.25">
      <c r="A24" s="134"/>
      <c r="B24" s="139"/>
      <c r="C24" s="139"/>
      <c r="D24" s="133" t="s">
        <v>143</v>
      </c>
      <c r="E24" s="98">
        <v>1603</v>
      </c>
    </row>
    <row r="25" spans="1:5" s="58" customFormat="1" x14ac:dyDescent="0.25">
      <c r="A25" s="139"/>
      <c r="B25" s="121" t="s">
        <v>104</v>
      </c>
      <c r="C25" s="122">
        <v>1700</v>
      </c>
      <c r="D25" s="133" t="s">
        <v>144</v>
      </c>
      <c r="E25" s="98">
        <v>1700</v>
      </c>
    </row>
    <row r="26" spans="1:5" s="58" customFormat="1" x14ac:dyDescent="0.25">
      <c r="A26" s="142"/>
      <c r="B26" s="143"/>
      <c r="C26" s="144"/>
      <c r="D26" s="145"/>
      <c r="E26" s="146"/>
    </row>
    <row r="27" spans="1:5" s="58" customFormat="1" x14ac:dyDescent="0.25">
      <c r="A27" s="132" t="s">
        <v>65</v>
      </c>
      <c r="B27" s="121" t="s">
        <v>67</v>
      </c>
      <c r="C27" s="122">
        <v>2000</v>
      </c>
      <c r="D27" s="133" t="s">
        <v>67</v>
      </c>
      <c r="E27" s="98">
        <v>2000</v>
      </c>
    </row>
    <row r="28" spans="1:5" s="58" customFormat="1" x14ac:dyDescent="0.25">
      <c r="A28" s="134"/>
      <c r="B28" s="140" t="s">
        <v>69</v>
      </c>
      <c r="C28" s="136">
        <v>2100</v>
      </c>
      <c r="D28" s="133" t="s">
        <v>145</v>
      </c>
      <c r="E28" s="98">
        <v>2101</v>
      </c>
    </row>
    <row r="29" spans="1:5" s="58" customFormat="1" x14ac:dyDescent="0.25">
      <c r="A29" s="134"/>
      <c r="B29" s="139"/>
      <c r="C29" s="139"/>
      <c r="D29" s="133" t="s">
        <v>146</v>
      </c>
      <c r="E29" s="98">
        <v>2102</v>
      </c>
    </row>
    <row r="30" spans="1:5" s="58" customFormat="1" x14ac:dyDescent="0.25">
      <c r="A30" s="134"/>
      <c r="B30" s="140" t="s">
        <v>75</v>
      </c>
      <c r="C30" s="136">
        <v>2200</v>
      </c>
      <c r="D30" s="133" t="s">
        <v>147</v>
      </c>
      <c r="E30" s="98">
        <v>2201</v>
      </c>
    </row>
    <row r="31" spans="1:5" s="58" customFormat="1" x14ac:dyDescent="0.25">
      <c r="A31" s="134"/>
      <c r="B31" s="139"/>
      <c r="C31" s="139"/>
      <c r="D31" s="133" t="s">
        <v>148</v>
      </c>
      <c r="E31" s="98">
        <v>2202</v>
      </c>
    </row>
    <row r="32" spans="1:5" s="58" customFormat="1" x14ac:dyDescent="0.25">
      <c r="A32" s="134"/>
      <c r="B32" s="140" t="s">
        <v>82</v>
      </c>
      <c r="C32" s="136">
        <v>2300</v>
      </c>
      <c r="D32" s="133" t="s">
        <v>149</v>
      </c>
      <c r="E32" s="98">
        <v>2301</v>
      </c>
    </row>
    <row r="33" spans="1:5" s="58" customFormat="1" x14ac:dyDescent="0.25">
      <c r="A33" s="134"/>
      <c r="B33" s="139"/>
      <c r="C33" s="139"/>
      <c r="D33" s="133" t="s">
        <v>150</v>
      </c>
      <c r="E33" s="98">
        <v>2302</v>
      </c>
    </row>
    <row r="34" spans="1:5" s="58" customFormat="1" x14ac:dyDescent="0.25">
      <c r="A34" s="139"/>
      <c r="B34" s="121" t="s">
        <v>87</v>
      </c>
      <c r="C34" s="122">
        <v>2400</v>
      </c>
      <c r="D34" s="133" t="s">
        <v>88</v>
      </c>
      <c r="E34" s="98">
        <v>2401</v>
      </c>
    </row>
    <row r="35" spans="1:5" s="58" customFormat="1" x14ac:dyDescent="0.25">
      <c r="A35" s="132" t="s">
        <v>93</v>
      </c>
      <c r="B35" s="140" t="s">
        <v>95</v>
      </c>
      <c r="C35" s="136">
        <v>2500</v>
      </c>
      <c r="D35" s="133" t="s">
        <v>151</v>
      </c>
      <c r="E35" s="98">
        <v>2501</v>
      </c>
    </row>
    <row r="36" spans="1:5" s="58" customFormat="1" x14ac:dyDescent="0.25">
      <c r="A36" s="134"/>
      <c r="B36" s="139"/>
      <c r="C36" s="139"/>
      <c r="D36" s="133" t="s">
        <v>152</v>
      </c>
      <c r="E36" s="98">
        <v>2502</v>
      </c>
    </row>
    <row r="37" spans="1:5" s="58" customFormat="1" x14ac:dyDescent="0.25">
      <c r="A37" s="134"/>
      <c r="B37" s="140" t="s">
        <v>101</v>
      </c>
      <c r="C37" s="122">
        <v>2600</v>
      </c>
      <c r="D37" s="133" t="s">
        <v>167</v>
      </c>
      <c r="E37" s="98">
        <v>2601</v>
      </c>
    </row>
    <row r="38" spans="1:5" s="58" customFormat="1" x14ac:dyDescent="0.25">
      <c r="A38" s="134"/>
      <c r="B38" s="139"/>
      <c r="C38" s="147"/>
      <c r="D38" s="133" t="s">
        <v>153</v>
      </c>
      <c r="E38" s="98">
        <v>2602</v>
      </c>
    </row>
    <row r="39" spans="1:5" s="58" customFormat="1" x14ac:dyDescent="0.25">
      <c r="A39" s="134"/>
      <c r="B39" s="140" t="s">
        <v>106</v>
      </c>
      <c r="C39" s="122">
        <v>2700</v>
      </c>
      <c r="D39" s="133" t="s">
        <v>154</v>
      </c>
      <c r="E39" s="98">
        <v>2701</v>
      </c>
    </row>
    <row r="40" spans="1:5" s="58" customFormat="1" x14ac:dyDescent="0.25">
      <c r="A40" s="134"/>
      <c r="B40" s="139"/>
      <c r="C40" s="147"/>
      <c r="D40" s="133" t="s">
        <v>155</v>
      </c>
      <c r="E40" s="98">
        <v>2702</v>
      </c>
    </row>
    <row r="41" spans="1:5" s="58" customFormat="1" x14ac:dyDescent="0.25">
      <c r="A41" s="139"/>
      <c r="B41" s="121" t="s">
        <v>109</v>
      </c>
      <c r="C41" s="122">
        <v>2800</v>
      </c>
      <c r="D41" s="133" t="s">
        <v>156</v>
      </c>
      <c r="E41" s="98">
        <v>2800</v>
      </c>
    </row>
    <row r="42" spans="1:5" x14ac:dyDescent="0.25">
      <c r="A42" s="148"/>
      <c r="B42" s="148"/>
      <c r="C42" s="148"/>
      <c r="D42" s="149"/>
      <c r="E42" s="149"/>
    </row>
    <row r="43" spans="1:5" x14ac:dyDescent="0.25">
      <c r="A43" s="148"/>
      <c r="B43" s="148"/>
      <c r="C43" s="148"/>
      <c r="D43" s="147" t="s">
        <v>126</v>
      </c>
      <c r="E43" s="98">
        <v>3001</v>
      </c>
    </row>
    <row r="44" spans="1:5" x14ac:dyDescent="0.25">
      <c r="A44" s="148"/>
      <c r="B44" s="148"/>
      <c r="C44" s="148"/>
      <c r="D44" s="147" t="s">
        <v>127</v>
      </c>
      <c r="E44" s="98">
        <v>3002</v>
      </c>
    </row>
    <row r="45" spans="1:5" x14ac:dyDescent="0.25">
      <c r="A45" s="148"/>
      <c r="B45" s="148"/>
      <c r="C45" s="148"/>
      <c r="D45" s="147" t="s">
        <v>225</v>
      </c>
      <c r="E45" s="98">
        <v>3003</v>
      </c>
    </row>
  </sheetData>
  <autoFilter ref="A3:E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opLeftCell="K1" workbookViewId="0">
      <selection activeCell="O65" sqref="O65:Q66"/>
    </sheetView>
  </sheetViews>
  <sheetFormatPr defaultRowHeight="15" x14ac:dyDescent="0.25"/>
  <cols>
    <col min="1" max="2" width="2" customWidth="1"/>
    <col min="3" max="3" width="12" customWidth="1"/>
    <col min="4" max="5" width="10.28515625" customWidth="1"/>
    <col min="6" max="6" width="3.7109375" customWidth="1"/>
    <col min="7" max="7" width="12" customWidth="1"/>
    <col min="8" max="9" width="10.28515625" customWidth="1"/>
    <col min="10" max="10" width="3.7109375" customWidth="1"/>
    <col min="11" max="11" width="12" customWidth="1"/>
    <col min="12" max="13" width="10.28515625" customWidth="1"/>
    <col min="14" max="14" width="3.7109375" customWidth="1"/>
    <col min="15" max="15" width="12" customWidth="1"/>
    <col min="16" max="17" width="10.28515625" customWidth="1"/>
    <col min="18" max="18" width="3.7109375" customWidth="1"/>
    <col min="19" max="19" width="12" customWidth="1"/>
    <col min="20" max="21" width="10.28515625" customWidth="1"/>
    <col min="22" max="22" width="3.7109375" customWidth="1"/>
    <col min="23" max="23" width="12" customWidth="1"/>
    <col min="24" max="25" width="10.28515625" customWidth="1"/>
    <col min="26" max="26" width="3.7109375" customWidth="1"/>
  </cols>
  <sheetData>
    <row r="1" spans="1:26" ht="18.75" x14ac:dyDescent="0.3">
      <c r="A1" s="99" t="s">
        <v>157</v>
      </c>
      <c r="B1" s="99"/>
      <c r="D1" s="100"/>
      <c r="E1" s="26"/>
      <c r="F1" s="26" t="s">
        <v>158</v>
      </c>
      <c r="G1" s="100">
        <f>Cont!B104-Y65</f>
        <v>0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6" x14ac:dyDescent="0.25">
      <c r="C2" s="4"/>
      <c r="D2" s="7"/>
    </row>
    <row r="3" spans="1:26" x14ac:dyDescent="0.25">
      <c r="C3" s="110" t="s">
        <v>0</v>
      </c>
      <c r="D3" s="111" t="s">
        <v>1</v>
      </c>
      <c r="E3" s="111" t="s">
        <v>159</v>
      </c>
      <c r="F3" s="35"/>
      <c r="G3" s="110" t="s">
        <v>0</v>
      </c>
      <c r="H3" s="111" t="s">
        <v>1</v>
      </c>
      <c r="I3" s="111" t="s">
        <v>159</v>
      </c>
      <c r="J3" s="3"/>
      <c r="K3" s="110" t="s">
        <v>0</v>
      </c>
      <c r="L3" s="111" t="s">
        <v>1</v>
      </c>
      <c r="M3" s="111" t="s">
        <v>159</v>
      </c>
      <c r="O3" s="110" t="s">
        <v>0</v>
      </c>
      <c r="P3" s="111" t="s">
        <v>1</v>
      </c>
      <c r="Q3" s="111" t="s">
        <v>159</v>
      </c>
      <c r="R3" s="3"/>
      <c r="S3" s="110" t="s">
        <v>0</v>
      </c>
      <c r="T3" s="111" t="s">
        <v>1</v>
      </c>
      <c r="U3" s="111" t="s">
        <v>159</v>
      </c>
      <c r="V3" s="3"/>
      <c r="W3" s="110" t="s">
        <v>0</v>
      </c>
      <c r="X3" s="111" t="s">
        <v>1</v>
      </c>
      <c r="Y3" s="111" t="s">
        <v>159</v>
      </c>
      <c r="Z3" s="3"/>
    </row>
    <row r="4" spans="1:26" x14ac:dyDescent="0.25">
      <c r="C4" s="112"/>
      <c r="D4" s="113"/>
      <c r="E4" s="113"/>
      <c r="F4" s="35"/>
      <c r="G4" s="112"/>
      <c r="H4" s="113"/>
      <c r="I4" s="113"/>
      <c r="K4" s="112"/>
      <c r="L4" s="113"/>
      <c r="M4" s="113"/>
      <c r="O4" s="112"/>
      <c r="P4" s="113"/>
      <c r="Q4" s="113"/>
      <c r="S4" s="112"/>
      <c r="T4" s="113"/>
      <c r="U4" s="113"/>
      <c r="W4" s="112"/>
      <c r="X4" s="113"/>
      <c r="Y4" s="113"/>
    </row>
    <row r="5" spans="1:26" x14ac:dyDescent="0.25">
      <c r="C5" s="114">
        <v>42736</v>
      </c>
      <c r="D5" s="113">
        <f>SUMIFS(Cont!$B:$B,Cont!$F:$F,"C",Cont!$A:$A,C5)</f>
        <v>1123.79</v>
      </c>
      <c r="E5" s="113">
        <f>A65+D5</f>
        <v>1123.79</v>
      </c>
      <c r="F5" s="35"/>
      <c r="G5" s="114">
        <v>42795</v>
      </c>
      <c r="H5" s="113">
        <f>SUMIFS(Cont!$B:$B,Cont!$F:$F,"C",Cont!$A:$A,G5)</f>
        <v>0</v>
      </c>
      <c r="I5" s="113">
        <f>E65+H5</f>
        <v>1573.61</v>
      </c>
      <c r="K5" s="114">
        <v>42856</v>
      </c>
      <c r="L5" s="113">
        <f>SUMIFS(Cont!$B:$B,Cont!$F:$F,"C",Cont!$A:$A,K5)</f>
        <v>0</v>
      </c>
      <c r="M5" s="113">
        <f>I65+L5</f>
        <v>562.52</v>
      </c>
      <c r="O5" s="114">
        <v>42917</v>
      </c>
      <c r="P5" s="113">
        <f>SUMIFS(Cont!$B:$B,Cont!$F:$F,"C",Cont!$A:$A,O5)</f>
        <v>0</v>
      </c>
      <c r="Q5" s="113">
        <f>M65+P5</f>
        <v>356.91999999999996</v>
      </c>
      <c r="S5" s="114">
        <v>42979</v>
      </c>
      <c r="T5" s="113">
        <f>SUMIFS(Cont!$B:$B,Cont!$F:$F,"C",Cont!$A:$A,S5)</f>
        <v>-14.05</v>
      </c>
      <c r="U5" s="113">
        <f>Q66+T5</f>
        <v>218.64999999999995</v>
      </c>
      <c r="W5" s="114">
        <v>43040</v>
      </c>
      <c r="X5" s="113">
        <f>SUMIFS(Cont!$B:$B,Cont!$F:$F,"C",Cont!$A:$A,W5)</f>
        <v>67</v>
      </c>
      <c r="Y5" s="113">
        <f>U65+X5</f>
        <v>135.00999999999993</v>
      </c>
    </row>
    <row r="6" spans="1:26" x14ac:dyDescent="0.25">
      <c r="C6" s="114">
        <v>42737</v>
      </c>
      <c r="D6" s="113">
        <f>SUMIFS(Cont!$B:$B,Cont!$F:$F,"C",Cont!$A:$A,C6)</f>
        <v>0</v>
      </c>
      <c r="E6" s="113">
        <f t="shared" ref="E6:E65" si="0">E5+D6</f>
        <v>1123.79</v>
      </c>
      <c r="F6" s="35"/>
      <c r="G6" s="114">
        <v>42796</v>
      </c>
      <c r="H6" s="113">
        <f>SUMIFS(Cont!$B:$B,Cont!$F:$F,"C",Cont!$A:$A,G6)</f>
        <v>0</v>
      </c>
      <c r="I6" s="113">
        <f t="shared" ref="I6:I65" si="1">I5+H6</f>
        <v>1573.61</v>
      </c>
      <c r="K6" s="114">
        <v>42857</v>
      </c>
      <c r="L6" s="113">
        <f>SUMIFS(Cont!$B:$B,Cont!$F:$F,"C",Cont!$A:$A,K6)</f>
        <v>0</v>
      </c>
      <c r="M6" s="113">
        <f t="shared" ref="M6:M65" si="2">M5+L6</f>
        <v>562.52</v>
      </c>
      <c r="O6" s="114">
        <v>42918</v>
      </c>
      <c r="P6" s="113">
        <f>SUMIFS(Cont!$B:$B,Cont!$F:$F,"C",Cont!$A:$A,O6)</f>
        <v>0</v>
      </c>
      <c r="Q6" s="113">
        <f t="shared" ref="Q6:Q65" si="3">Q5+P6</f>
        <v>356.91999999999996</v>
      </c>
      <c r="S6" s="114">
        <v>42980</v>
      </c>
      <c r="T6" s="113">
        <f>SUMIFS(Cont!$B:$B,Cont!$F:$F,"C",Cont!$A:$A,S6)</f>
        <v>35</v>
      </c>
      <c r="U6" s="113">
        <f t="shared" ref="U6:U65" si="4">U5+T6</f>
        <v>253.64999999999995</v>
      </c>
      <c r="W6" s="114">
        <v>43041</v>
      </c>
      <c r="X6" s="113">
        <f>SUMIFS(Cont!$B:$B,Cont!$F:$F,"C",Cont!$A:$A,W6)</f>
        <v>0</v>
      </c>
      <c r="Y6" s="113">
        <f t="shared" ref="Y6:Y65" si="5">Y5+X6</f>
        <v>135.00999999999993</v>
      </c>
    </row>
    <row r="7" spans="1:26" x14ac:dyDescent="0.25">
      <c r="C7" s="114">
        <v>42738</v>
      </c>
      <c r="D7" s="113">
        <f>SUMIFS(Cont!$B:$B,Cont!$F:$F,"C",Cont!$A:$A,C7)</f>
        <v>0</v>
      </c>
      <c r="E7" s="113">
        <f t="shared" si="0"/>
        <v>1123.79</v>
      </c>
      <c r="F7" s="35"/>
      <c r="G7" s="114">
        <v>42797</v>
      </c>
      <c r="H7" s="113">
        <f>SUMIFS(Cont!$B:$B,Cont!$F:$F,"C",Cont!$A:$A,G7)</f>
        <v>0</v>
      </c>
      <c r="I7" s="113">
        <f t="shared" si="1"/>
        <v>1573.61</v>
      </c>
      <c r="K7" s="114">
        <v>42858</v>
      </c>
      <c r="L7" s="113">
        <f>SUMIFS(Cont!$B:$B,Cont!$F:$F,"C",Cont!$A:$A,K7)</f>
        <v>0</v>
      </c>
      <c r="M7" s="113">
        <f t="shared" si="2"/>
        <v>562.52</v>
      </c>
      <c r="O7" s="114">
        <v>42919</v>
      </c>
      <c r="P7" s="113">
        <f>SUMIFS(Cont!$B:$B,Cont!$F:$F,"C",Cont!$A:$A,O7)</f>
        <v>0</v>
      </c>
      <c r="Q7" s="113">
        <f t="shared" si="3"/>
        <v>356.91999999999996</v>
      </c>
      <c r="S7" s="114">
        <v>42981</v>
      </c>
      <c r="T7" s="113">
        <f>SUMIFS(Cont!$B:$B,Cont!$F:$F,"C",Cont!$A:$A,S7)</f>
        <v>0</v>
      </c>
      <c r="U7" s="113">
        <f t="shared" si="4"/>
        <v>253.64999999999995</v>
      </c>
      <c r="W7" s="114">
        <v>43042</v>
      </c>
      <c r="X7" s="113">
        <f>SUMIFS(Cont!$B:$B,Cont!$F:$F,"C",Cont!$A:$A,W7)</f>
        <v>0</v>
      </c>
      <c r="Y7" s="113">
        <f t="shared" si="5"/>
        <v>135.00999999999993</v>
      </c>
    </row>
    <row r="8" spans="1:26" x14ac:dyDescent="0.25">
      <c r="C8" s="114">
        <v>42739</v>
      </c>
      <c r="D8" s="113">
        <f>SUMIFS(Cont!$B:$B,Cont!$F:$F,"C",Cont!$A:$A,C8)</f>
        <v>0</v>
      </c>
      <c r="E8" s="113">
        <f t="shared" si="0"/>
        <v>1123.79</v>
      </c>
      <c r="F8" s="35"/>
      <c r="G8" s="114">
        <v>42798</v>
      </c>
      <c r="H8" s="113">
        <f>SUMIFS(Cont!$B:$B,Cont!$F:$F,"C",Cont!$A:$A,G8)</f>
        <v>0</v>
      </c>
      <c r="I8" s="113">
        <f t="shared" si="1"/>
        <v>1573.61</v>
      </c>
      <c r="K8" s="114">
        <v>42859</v>
      </c>
      <c r="L8" s="113">
        <f>SUMIFS(Cont!$B:$B,Cont!$F:$F,"C",Cont!$A:$A,K8)</f>
        <v>0</v>
      </c>
      <c r="M8" s="113">
        <f t="shared" si="2"/>
        <v>562.52</v>
      </c>
      <c r="O8" s="114">
        <v>42920</v>
      </c>
      <c r="P8" s="113">
        <f>SUMIFS(Cont!$B:$B,Cont!$F:$F,"C",Cont!$A:$A,O8)</f>
        <v>0</v>
      </c>
      <c r="Q8" s="113">
        <f t="shared" si="3"/>
        <v>356.91999999999996</v>
      </c>
      <c r="S8" s="114">
        <v>42982</v>
      </c>
      <c r="T8" s="113">
        <f>SUMIFS(Cont!$B:$B,Cont!$F:$F,"C",Cont!$A:$A,S8)</f>
        <v>0</v>
      </c>
      <c r="U8" s="113">
        <f t="shared" si="4"/>
        <v>253.64999999999995</v>
      </c>
      <c r="W8" s="114">
        <v>43043</v>
      </c>
      <c r="X8" s="113">
        <f>SUMIFS(Cont!$B:$B,Cont!$F:$F,"C",Cont!$A:$A,W8)</f>
        <v>0</v>
      </c>
      <c r="Y8" s="113">
        <f t="shared" si="5"/>
        <v>135.00999999999993</v>
      </c>
    </row>
    <row r="9" spans="1:26" x14ac:dyDescent="0.25">
      <c r="C9" s="114">
        <v>42740</v>
      </c>
      <c r="D9" s="113">
        <f>SUMIFS(Cont!$B:$B,Cont!$F:$F,"C",Cont!$A:$A,C9)</f>
        <v>0</v>
      </c>
      <c r="E9" s="113">
        <f t="shared" si="0"/>
        <v>1123.79</v>
      </c>
      <c r="F9" s="35"/>
      <c r="G9" s="114">
        <v>42799</v>
      </c>
      <c r="H9" s="113">
        <f>SUMIFS(Cont!$B:$B,Cont!$F:$F,"C",Cont!$A:$A,G9)</f>
        <v>0</v>
      </c>
      <c r="I9" s="113">
        <f t="shared" si="1"/>
        <v>1573.61</v>
      </c>
      <c r="K9" s="114">
        <v>42860</v>
      </c>
      <c r="L9" s="113">
        <f>SUMIFS(Cont!$B:$B,Cont!$F:$F,"C",Cont!$A:$A,K9)</f>
        <v>0</v>
      </c>
      <c r="M9" s="113">
        <f t="shared" si="2"/>
        <v>562.52</v>
      </c>
      <c r="O9" s="114">
        <v>42921</v>
      </c>
      <c r="P9" s="113">
        <f>SUMIFS(Cont!$B:$B,Cont!$F:$F,"C",Cont!$A:$A,O9)</f>
        <v>0</v>
      </c>
      <c r="Q9" s="113">
        <f t="shared" si="3"/>
        <v>356.91999999999996</v>
      </c>
      <c r="S9" s="114">
        <v>42983</v>
      </c>
      <c r="T9" s="113">
        <f>SUMIFS(Cont!$B:$B,Cont!$F:$F,"C",Cont!$A:$A,S9)</f>
        <v>0</v>
      </c>
      <c r="U9" s="113">
        <f t="shared" si="4"/>
        <v>253.64999999999995</v>
      </c>
      <c r="W9" s="114">
        <v>43044</v>
      </c>
      <c r="X9" s="113">
        <f>SUMIFS(Cont!$B:$B,Cont!$F:$F,"C",Cont!$A:$A,W9)</f>
        <v>0</v>
      </c>
      <c r="Y9" s="113">
        <f t="shared" si="5"/>
        <v>135.00999999999993</v>
      </c>
    </row>
    <row r="10" spans="1:26" x14ac:dyDescent="0.25">
      <c r="C10" s="114">
        <v>42741</v>
      </c>
      <c r="D10" s="113">
        <f>SUMIFS(Cont!$B:$B,Cont!$F:$F,"C",Cont!$A:$A,C10)</f>
        <v>0</v>
      </c>
      <c r="E10" s="113">
        <f t="shared" si="0"/>
        <v>1123.79</v>
      </c>
      <c r="F10" s="35"/>
      <c r="G10" s="114">
        <v>42800</v>
      </c>
      <c r="H10" s="113">
        <f>SUMIFS(Cont!$B:$B,Cont!$F:$F,"C",Cont!$A:$A,G10)</f>
        <v>0</v>
      </c>
      <c r="I10" s="113">
        <f t="shared" si="1"/>
        <v>1573.61</v>
      </c>
      <c r="K10" s="114">
        <v>42861</v>
      </c>
      <c r="L10" s="113">
        <f>SUMIFS(Cont!$B:$B,Cont!$F:$F,"C",Cont!$A:$A,K10)</f>
        <v>0</v>
      </c>
      <c r="M10" s="113">
        <f t="shared" si="2"/>
        <v>562.52</v>
      </c>
      <c r="O10" s="114">
        <v>42922</v>
      </c>
      <c r="P10" s="113">
        <f>SUMIFS(Cont!$B:$B,Cont!$F:$F,"C",Cont!$A:$A,O10)</f>
        <v>0</v>
      </c>
      <c r="Q10" s="113">
        <f t="shared" si="3"/>
        <v>356.91999999999996</v>
      </c>
      <c r="S10" s="114">
        <v>42984</v>
      </c>
      <c r="T10" s="113">
        <f>SUMIFS(Cont!$B:$B,Cont!$F:$F,"C",Cont!$A:$A,S10)</f>
        <v>0</v>
      </c>
      <c r="U10" s="113">
        <f t="shared" si="4"/>
        <v>253.64999999999995</v>
      </c>
      <c r="W10" s="114">
        <v>43045</v>
      </c>
      <c r="X10" s="113">
        <f>SUMIFS(Cont!$B:$B,Cont!$F:$F,"C",Cont!$A:$A,W10)</f>
        <v>0</v>
      </c>
      <c r="Y10" s="113">
        <f t="shared" si="5"/>
        <v>135.00999999999993</v>
      </c>
    </row>
    <row r="11" spans="1:26" x14ac:dyDescent="0.25">
      <c r="C11" s="114">
        <v>42742</v>
      </c>
      <c r="D11" s="113">
        <f>SUMIFS(Cont!$B:$B,Cont!$F:$F,"C",Cont!$A:$A,C11)</f>
        <v>0</v>
      </c>
      <c r="E11" s="113">
        <f t="shared" si="0"/>
        <v>1123.79</v>
      </c>
      <c r="F11" s="35"/>
      <c r="G11" s="114">
        <v>42801</v>
      </c>
      <c r="H11" s="113">
        <f>SUMIFS(Cont!$B:$B,Cont!$F:$F,"C",Cont!$A:$A,G11)</f>
        <v>0</v>
      </c>
      <c r="I11" s="113">
        <f t="shared" si="1"/>
        <v>1573.61</v>
      </c>
      <c r="K11" s="114">
        <v>42862</v>
      </c>
      <c r="L11" s="113">
        <f>SUMIFS(Cont!$B:$B,Cont!$F:$F,"C",Cont!$A:$A,K11)</f>
        <v>0</v>
      </c>
      <c r="M11" s="113">
        <f t="shared" si="2"/>
        <v>562.52</v>
      </c>
      <c r="O11" s="114">
        <v>42923</v>
      </c>
      <c r="P11" s="113">
        <f>SUMIFS(Cont!$B:$B,Cont!$F:$F,"C",Cont!$A:$A,O11)</f>
        <v>0</v>
      </c>
      <c r="Q11" s="113">
        <f t="shared" si="3"/>
        <v>356.91999999999996</v>
      </c>
      <c r="S11" s="114">
        <v>42985</v>
      </c>
      <c r="T11" s="113">
        <f>SUMIFS(Cont!$B:$B,Cont!$F:$F,"C",Cont!$A:$A,S11)</f>
        <v>0</v>
      </c>
      <c r="U11" s="113">
        <f t="shared" si="4"/>
        <v>253.64999999999995</v>
      </c>
      <c r="W11" s="114">
        <v>43046</v>
      </c>
      <c r="X11" s="113">
        <f>SUMIFS(Cont!$B:$B,Cont!$F:$F,"C",Cont!$A:$A,W11)</f>
        <v>0</v>
      </c>
      <c r="Y11" s="113">
        <f t="shared" si="5"/>
        <v>135.00999999999993</v>
      </c>
    </row>
    <row r="12" spans="1:26" x14ac:dyDescent="0.25">
      <c r="C12" s="114">
        <v>42743</v>
      </c>
      <c r="D12" s="113">
        <f>SUMIFS(Cont!$B:$B,Cont!$F:$F,"C",Cont!$A:$A,C12)</f>
        <v>0</v>
      </c>
      <c r="E12" s="113">
        <f t="shared" si="0"/>
        <v>1123.79</v>
      </c>
      <c r="F12" s="35"/>
      <c r="G12" s="114">
        <v>42802</v>
      </c>
      <c r="H12" s="113">
        <f>SUMIFS(Cont!$B:$B,Cont!$F:$F,"C",Cont!$A:$A,G12)</f>
        <v>0</v>
      </c>
      <c r="I12" s="113">
        <f t="shared" si="1"/>
        <v>1573.61</v>
      </c>
      <c r="K12" s="114">
        <v>42863</v>
      </c>
      <c r="L12" s="113">
        <f>SUMIFS(Cont!$B:$B,Cont!$F:$F,"C",Cont!$A:$A,K12)</f>
        <v>0</v>
      </c>
      <c r="M12" s="113">
        <f t="shared" si="2"/>
        <v>562.52</v>
      </c>
      <c r="O12" s="114">
        <v>42924</v>
      </c>
      <c r="P12" s="113">
        <f>SUMIFS(Cont!$B:$B,Cont!$F:$F,"C",Cont!$A:$A,O12)</f>
        <v>0</v>
      </c>
      <c r="Q12" s="113">
        <f t="shared" si="3"/>
        <v>356.91999999999996</v>
      </c>
      <c r="S12" s="114">
        <v>42986</v>
      </c>
      <c r="T12" s="113">
        <f>SUMIFS(Cont!$B:$B,Cont!$F:$F,"C",Cont!$A:$A,S12)</f>
        <v>0</v>
      </c>
      <c r="U12" s="113">
        <f t="shared" si="4"/>
        <v>253.64999999999995</v>
      </c>
      <c r="W12" s="114">
        <v>43047</v>
      </c>
      <c r="X12" s="113">
        <f>SUMIFS(Cont!$B:$B,Cont!$F:$F,"C",Cont!$A:$A,W12)</f>
        <v>0</v>
      </c>
      <c r="Y12" s="113">
        <f t="shared" si="5"/>
        <v>135.00999999999993</v>
      </c>
    </row>
    <row r="13" spans="1:26" x14ac:dyDescent="0.25">
      <c r="C13" s="114">
        <v>42744</v>
      </c>
      <c r="D13" s="113">
        <f>SUMIFS(Cont!$B:$B,Cont!$F:$F,"C",Cont!$A:$A,C13)</f>
        <v>0</v>
      </c>
      <c r="E13" s="113">
        <f t="shared" si="0"/>
        <v>1123.79</v>
      </c>
      <c r="F13" s="35"/>
      <c r="G13" s="114">
        <v>42803</v>
      </c>
      <c r="H13" s="113">
        <f>SUMIFS(Cont!$B:$B,Cont!$F:$F,"C",Cont!$A:$A,G13)</f>
        <v>0</v>
      </c>
      <c r="I13" s="113">
        <f t="shared" si="1"/>
        <v>1573.61</v>
      </c>
      <c r="K13" s="114">
        <v>42864</v>
      </c>
      <c r="L13" s="113">
        <f>SUMIFS(Cont!$B:$B,Cont!$F:$F,"C",Cont!$A:$A,K13)</f>
        <v>0</v>
      </c>
      <c r="M13" s="113">
        <f t="shared" si="2"/>
        <v>562.52</v>
      </c>
      <c r="O13" s="114">
        <v>42925</v>
      </c>
      <c r="P13" s="113">
        <f>SUMIFS(Cont!$B:$B,Cont!$F:$F,"C",Cont!$A:$A,O13)</f>
        <v>0</v>
      </c>
      <c r="Q13" s="113">
        <f t="shared" si="3"/>
        <v>356.91999999999996</v>
      </c>
      <c r="S13" s="114">
        <v>42987</v>
      </c>
      <c r="T13" s="113">
        <f>SUMIFS(Cont!$B:$B,Cont!$F:$F,"C",Cont!$A:$A,S13)</f>
        <v>0</v>
      </c>
      <c r="U13" s="113">
        <f t="shared" si="4"/>
        <v>253.64999999999995</v>
      </c>
      <c r="W13" s="114">
        <v>43048</v>
      </c>
      <c r="X13" s="113">
        <f>SUMIFS(Cont!$B:$B,Cont!$F:$F,"C",Cont!$A:$A,W13)</f>
        <v>0</v>
      </c>
      <c r="Y13" s="113">
        <f t="shared" si="5"/>
        <v>135.00999999999993</v>
      </c>
    </row>
    <row r="14" spans="1:26" x14ac:dyDescent="0.25">
      <c r="C14" s="114">
        <v>42745</v>
      </c>
      <c r="D14" s="113">
        <f>SUMIFS(Cont!$B:$B,Cont!$F:$F,"C",Cont!$A:$A,C14)</f>
        <v>0</v>
      </c>
      <c r="E14" s="113">
        <f t="shared" si="0"/>
        <v>1123.79</v>
      </c>
      <c r="F14" s="35"/>
      <c r="G14" s="114">
        <v>42804</v>
      </c>
      <c r="H14" s="113">
        <f>SUMIFS(Cont!$B:$B,Cont!$F:$F,"C",Cont!$A:$A,G14)</f>
        <v>0</v>
      </c>
      <c r="I14" s="113">
        <f t="shared" si="1"/>
        <v>1573.61</v>
      </c>
      <c r="K14" s="114">
        <v>42865</v>
      </c>
      <c r="L14" s="113">
        <f>SUMIFS(Cont!$B:$B,Cont!$F:$F,"C",Cont!$A:$A,K14)</f>
        <v>0</v>
      </c>
      <c r="M14" s="113">
        <f t="shared" si="2"/>
        <v>562.52</v>
      </c>
      <c r="O14" s="114">
        <v>42926</v>
      </c>
      <c r="P14" s="113">
        <f>SUMIFS(Cont!$B:$B,Cont!$F:$F,"C",Cont!$A:$A,O14)</f>
        <v>0</v>
      </c>
      <c r="Q14" s="113">
        <f t="shared" si="3"/>
        <v>356.91999999999996</v>
      </c>
      <c r="S14" s="114">
        <v>42988</v>
      </c>
      <c r="T14" s="113">
        <f>SUMIFS(Cont!$B:$B,Cont!$F:$F,"C",Cont!$A:$A,S14)</f>
        <v>0</v>
      </c>
      <c r="U14" s="113">
        <f t="shared" si="4"/>
        <v>253.64999999999995</v>
      </c>
      <c r="W14" s="114">
        <v>43049</v>
      </c>
      <c r="X14" s="113">
        <f>SUMIFS(Cont!$B:$B,Cont!$F:$F,"C",Cont!$A:$A,W14)</f>
        <v>0</v>
      </c>
      <c r="Y14" s="113">
        <f t="shared" si="5"/>
        <v>135.00999999999993</v>
      </c>
    </row>
    <row r="15" spans="1:26" x14ac:dyDescent="0.25">
      <c r="C15" s="114">
        <v>42746</v>
      </c>
      <c r="D15" s="113">
        <f>SUMIFS(Cont!$B:$B,Cont!$F:$F,"C",Cont!$A:$A,C15)</f>
        <v>0</v>
      </c>
      <c r="E15" s="113">
        <f t="shared" si="0"/>
        <v>1123.79</v>
      </c>
      <c r="F15" s="35"/>
      <c r="G15" s="114">
        <v>42805</v>
      </c>
      <c r="H15" s="113">
        <f>SUMIFS(Cont!$B:$B,Cont!$F:$F,"C",Cont!$A:$A,G15)</f>
        <v>0</v>
      </c>
      <c r="I15" s="113">
        <f t="shared" si="1"/>
        <v>1573.61</v>
      </c>
      <c r="K15" s="114">
        <v>42866</v>
      </c>
      <c r="L15" s="113">
        <f>SUMIFS(Cont!$B:$B,Cont!$F:$F,"C",Cont!$A:$A,K15)</f>
        <v>0</v>
      </c>
      <c r="M15" s="113">
        <f t="shared" si="2"/>
        <v>562.52</v>
      </c>
      <c r="O15" s="114">
        <v>42927</v>
      </c>
      <c r="P15" s="113">
        <f>SUMIFS(Cont!$B:$B,Cont!$F:$F,"C",Cont!$A:$A,O15)</f>
        <v>0</v>
      </c>
      <c r="Q15" s="113">
        <f t="shared" si="3"/>
        <v>356.91999999999996</v>
      </c>
      <c r="S15" s="114">
        <v>42989</v>
      </c>
      <c r="T15" s="113">
        <f>SUMIFS(Cont!$B:$B,Cont!$F:$F,"C",Cont!$A:$A,S15)</f>
        <v>0</v>
      </c>
      <c r="U15" s="113">
        <f t="shared" si="4"/>
        <v>253.64999999999995</v>
      </c>
      <c r="W15" s="114">
        <v>43050</v>
      </c>
      <c r="X15" s="113">
        <f>SUMIFS(Cont!$B:$B,Cont!$F:$F,"C",Cont!$A:$A,W15)</f>
        <v>0</v>
      </c>
      <c r="Y15" s="113">
        <f t="shared" si="5"/>
        <v>135.00999999999993</v>
      </c>
    </row>
    <row r="16" spans="1:26" x14ac:dyDescent="0.25">
      <c r="C16" s="114">
        <v>42747</v>
      </c>
      <c r="D16" s="113">
        <f>SUMIFS(Cont!$B:$B,Cont!$F:$F,"C",Cont!$A:$A,C16)</f>
        <v>-10.68</v>
      </c>
      <c r="E16" s="113">
        <f t="shared" si="0"/>
        <v>1113.1099999999999</v>
      </c>
      <c r="F16" s="35"/>
      <c r="G16" s="114">
        <v>42806</v>
      </c>
      <c r="H16" s="113">
        <f>SUMIFS(Cont!$B:$B,Cont!$F:$F,"C",Cont!$A:$A,G16)</f>
        <v>0</v>
      </c>
      <c r="I16" s="113">
        <f t="shared" si="1"/>
        <v>1573.61</v>
      </c>
      <c r="K16" s="114">
        <v>42867</v>
      </c>
      <c r="L16" s="113">
        <f>SUMIFS(Cont!$B:$B,Cont!$F:$F,"C",Cont!$A:$A,K16)</f>
        <v>0</v>
      </c>
      <c r="M16" s="113">
        <f t="shared" si="2"/>
        <v>562.52</v>
      </c>
      <c r="O16" s="114">
        <v>42928</v>
      </c>
      <c r="P16" s="113">
        <f>SUMIFS(Cont!$B:$B,Cont!$F:$F,"C",Cont!$A:$A,O16)</f>
        <v>0</v>
      </c>
      <c r="Q16" s="113">
        <f t="shared" si="3"/>
        <v>356.91999999999996</v>
      </c>
      <c r="S16" s="114">
        <v>42990</v>
      </c>
      <c r="T16" s="113">
        <f>SUMIFS(Cont!$B:$B,Cont!$F:$F,"C",Cont!$A:$A,S16)</f>
        <v>0</v>
      </c>
      <c r="U16" s="113">
        <f t="shared" si="4"/>
        <v>253.64999999999995</v>
      </c>
      <c r="W16" s="114">
        <v>43051</v>
      </c>
      <c r="X16" s="113">
        <f>SUMIFS(Cont!$B:$B,Cont!$F:$F,"C",Cont!$A:$A,W16)</f>
        <v>0</v>
      </c>
      <c r="Y16" s="113">
        <f t="shared" si="5"/>
        <v>135.00999999999993</v>
      </c>
    </row>
    <row r="17" spans="3:25" x14ac:dyDescent="0.25">
      <c r="C17" s="114">
        <v>42748</v>
      </c>
      <c r="D17" s="113">
        <f>SUMIFS(Cont!$B:$B,Cont!$F:$F,"C",Cont!$A:$A,C17)</f>
        <v>0</v>
      </c>
      <c r="E17" s="113">
        <f t="shared" si="0"/>
        <v>1113.1099999999999</v>
      </c>
      <c r="F17" s="35"/>
      <c r="G17" s="114">
        <v>42807</v>
      </c>
      <c r="H17" s="113">
        <f>SUMIFS(Cont!$B:$B,Cont!$F:$F,"C",Cont!$A:$A,G17)</f>
        <v>0</v>
      </c>
      <c r="I17" s="113">
        <f t="shared" si="1"/>
        <v>1573.61</v>
      </c>
      <c r="K17" s="114">
        <v>42868</v>
      </c>
      <c r="L17" s="113">
        <f>SUMIFS(Cont!$B:$B,Cont!$F:$F,"C",Cont!$A:$A,K17)</f>
        <v>0</v>
      </c>
      <c r="M17" s="113">
        <f t="shared" si="2"/>
        <v>562.52</v>
      </c>
      <c r="O17" s="114">
        <v>42929</v>
      </c>
      <c r="P17" s="113">
        <f>SUMIFS(Cont!$B:$B,Cont!$F:$F,"C",Cont!$A:$A,O17)</f>
        <v>0</v>
      </c>
      <c r="Q17" s="113">
        <f t="shared" si="3"/>
        <v>356.91999999999996</v>
      </c>
      <c r="S17" s="114">
        <v>42991</v>
      </c>
      <c r="T17" s="113">
        <f>SUMIFS(Cont!$B:$B,Cont!$F:$F,"C",Cont!$A:$A,S17)</f>
        <v>0</v>
      </c>
      <c r="U17" s="113">
        <f t="shared" si="4"/>
        <v>253.64999999999995</v>
      </c>
      <c r="W17" s="114">
        <v>43052</v>
      </c>
      <c r="X17" s="113">
        <f>SUMIFS(Cont!$B:$B,Cont!$F:$F,"C",Cont!$A:$A,W17)</f>
        <v>0</v>
      </c>
      <c r="Y17" s="113">
        <f t="shared" si="5"/>
        <v>135.00999999999993</v>
      </c>
    </row>
    <row r="18" spans="3:25" x14ac:dyDescent="0.25">
      <c r="C18" s="114">
        <v>42749</v>
      </c>
      <c r="D18" s="113">
        <f>SUMIFS(Cont!$B:$B,Cont!$F:$F,"C",Cont!$A:$A,C18)</f>
        <v>0</v>
      </c>
      <c r="E18" s="113">
        <f t="shared" si="0"/>
        <v>1113.1099999999999</v>
      </c>
      <c r="F18" s="35"/>
      <c r="G18" s="114">
        <v>42808</v>
      </c>
      <c r="H18" s="113">
        <f>SUMIFS(Cont!$B:$B,Cont!$F:$F,"C",Cont!$A:$A,G18)</f>
        <v>0</v>
      </c>
      <c r="I18" s="113">
        <f t="shared" si="1"/>
        <v>1573.61</v>
      </c>
      <c r="K18" s="114">
        <v>42869</v>
      </c>
      <c r="L18" s="113">
        <f>SUMIFS(Cont!$B:$B,Cont!$F:$F,"C",Cont!$A:$A,K18)</f>
        <v>0</v>
      </c>
      <c r="M18" s="113">
        <f t="shared" si="2"/>
        <v>562.52</v>
      </c>
      <c r="O18" s="114">
        <v>42930</v>
      </c>
      <c r="P18" s="113">
        <f>SUMIFS(Cont!$B:$B,Cont!$F:$F,"C",Cont!$A:$A,O18)</f>
        <v>5</v>
      </c>
      <c r="Q18" s="113">
        <f t="shared" si="3"/>
        <v>361.91999999999996</v>
      </c>
      <c r="S18" s="114">
        <v>42992</v>
      </c>
      <c r="T18" s="113">
        <f>SUMIFS(Cont!$B:$B,Cont!$F:$F,"C",Cont!$A:$A,S18)</f>
        <v>0</v>
      </c>
      <c r="U18" s="113">
        <f t="shared" si="4"/>
        <v>253.64999999999995</v>
      </c>
      <c r="W18" s="114">
        <v>43053</v>
      </c>
      <c r="X18" s="113">
        <f>SUMIFS(Cont!$B:$B,Cont!$F:$F,"C",Cont!$A:$A,W18)</f>
        <v>0</v>
      </c>
      <c r="Y18" s="113">
        <f t="shared" si="5"/>
        <v>135.00999999999993</v>
      </c>
    </row>
    <row r="19" spans="3:25" x14ac:dyDescent="0.25">
      <c r="C19" s="114">
        <v>42750</v>
      </c>
      <c r="D19" s="113">
        <f>SUMIFS(Cont!$B:$B,Cont!$F:$F,"C",Cont!$A:$A,C19)</f>
        <v>0</v>
      </c>
      <c r="E19" s="113">
        <f t="shared" si="0"/>
        <v>1113.1099999999999</v>
      </c>
      <c r="F19" s="35"/>
      <c r="G19" s="114">
        <v>42809</v>
      </c>
      <c r="H19" s="113">
        <f>SUMIFS(Cont!$B:$B,Cont!$F:$F,"C",Cont!$A:$A,G19)</f>
        <v>0</v>
      </c>
      <c r="I19" s="113">
        <f t="shared" si="1"/>
        <v>1573.61</v>
      </c>
      <c r="K19" s="114">
        <v>42870</v>
      </c>
      <c r="L19" s="113">
        <f>SUMIFS(Cont!$B:$B,Cont!$F:$F,"C",Cont!$A:$A,K19)</f>
        <v>0</v>
      </c>
      <c r="M19" s="113">
        <f t="shared" si="2"/>
        <v>562.52</v>
      </c>
      <c r="O19" s="114">
        <v>42931</v>
      </c>
      <c r="P19" s="113">
        <f>SUMIFS(Cont!$B:$B,Cont!$F:$F,"C",Cont!$A:$A,O19)</f>
        <v>0</v>
      </c>
      <c r="Q19" s="113">
        <f t="shared" si="3"/>
        <v>361.91999999999996</v>
      </c>
      <c r="S19" s="114">
        <v>42993</v>
      </c>
      <c r="T19" s="113">
        <f>SUMIFS(Cont!$B:$B,Cont!$F:$F,"C",Cont!$A:$A,S19)</f>
        <v>0</v>
      </c>
      <c r="U19" s="113">
        <f t="shared" si="4"/>
        <v>253.64999999999995</v>
      </c>
      <c r="W19" s="114">
        <v>43054</v>
      </c>
      <c r="X19" s="113">
        <f>SUMIFS(Cont!$B:$B,Cont!$F:$F,"C",Cont!$A:$A,W19)</f>
        <v>0</v>
      </c>
      <c r="Y19" s="113">
        <f t="shared" si="5"/>
        <v>135.00999999999993</v>
      </c>
    </row>
    <row r="20" spans="3:25" x14ac:dyDescent="0.25">
      <c r="C20" s="114">
        <v>42751</v>
      </c>
      <c r="D20" s="113">
        <f>SUMIFS(Cont!$B:$B,Cont!$F:$F,"C",Cont!$A:$A,C20)</f>
        <v>0</v>
      </c>
      <c r="E20" s="113">
        <f t="shared" si="0"/>
        <v>1113.1099999999999</v>
      </c>
      <c r="F20" s="35"/>
      <c r="G20" s="114">
        <v>42810</v>
      </c>
      <c r="H20" s="113">
        <f>SUMIFS(Cont!$B:$B,Cont!$F:$F,"C",Cont!$A:$A,G20)</f>
        <v>0</v>
      </c>
      <c r="I20" s="113">
        <f t="shared" si="1"/>
        <v>1573.61</v>
      </c>
      <c r="K20" s="114">
        <v>42871</v>
      </c>
      <c r="L20" s="113">
        <f>SUMIFS(Cont!$B:$B,Cont!$F:$F,"C",Cont!$A:$A,K20)</f>
        <v>0</v>
      </c>
      <c r="M20" s="113">
        <f t="shared" si="2"/>
        <v>562.52</v>
      </c>
      <c r="O20" s="114">
        <v>42932</v>
      </c>
      <c r="P20" s="113">
        <f>SUMIFS(Cont!$B:$B,Cont!$F:$F,"C",Cont!$A:$A,O20)</f>
        <v>0</v>
      </c>
      <c r="Q20" s="113">
        <f t="shared" si="3"/>
        <v>361.91999999999996</v>
      </c>
      <c r="S20" s="114">
        <v>42994</v>
      </c>
      <c r="T20" s="113">
        <f>SUMIFS(Cont!$B:$B,Cont!$F:$F,"C",Cont!$A:$A,S20)</f>
        <v>0</v>
      </c>
      <c r="U20" s="113">
        <f t="shared" si="4"/>
        <v>253.64999999999995</v>
      </c>
      <c r="W20" s="114">
        <v>43055</v>
      </c>
      <c r="X20" s="113">
        <f>SUMIFS(Cont!$B:$B,Cont!$F:$F,"C",Cont!$A:$A,W20)</f>
        <v>0</v>
      </c>
      <c r="Y20" s="113">
        <f t="shared" si="5"/>
        <v>135.00999999999993</v>
      </c>
    </row>
    <row r="21" spans="3:25" x14ac:dyDescent="0.25">
      <c r="C21" s="114">
        <v>42752</v>
      </c>
      <c r="D21" s="113">
        <f>SUMIFS(Cont!$B:$B,Cont!$F:$F,"C",Cont!$A:$A,C21)</f>
        <v>150</v>
      </c>
      <c r="E21" s="113">
        <f t="shared" si="0"/>
        <v>1263.1099999999999</v>
      </c>
      <c r="F21" s="35"/>
      <c r="G21" s="114">
        <v>42811</v>
      </c>
      <c r="H21" s="113">
        <f>SUMIFS(Cont!$B:$B,Cont!$F:$F,"C",Cont!$A:$A,G21)</f>
        <v>0</v>
      </c>
      <c r="I21" s="113">
        <f t="shared" si="1"/>
        <v>1573.61</v>
      </c>
      <c r="K21" s="114">
        <v>42872</v>
      </c>
      <c r="L21" s="113">
        <f>SUMIFS(Cont!$B:$B,Cont!$F:$F,"C",Cont!$A:$A,K21)</f>
        <v>0</v>
      </c>
      <c r="M21" s="113">
        <f t="shared" si="2"/>
        <v>562.52</v>
      </c>
      <c r="O21" s="114">
        <v>42933</v>
      </c>
      <c r="P21" s="113">
        <f>SUMIFS(Cont!$B:$B,Cont!$F:$F,"C",Cont!$A:$A,O21)</f>
        <v>0</v>
      </c>
      <c r="Q21" s="113">
        <f t="shared" si="3"/>
        <v>361.91999999999996</v>
      </c>
      <c r="S21" s="114">
        <v>42995</v>
      </c>
      <c r="T21" s="113">
        <f>SUMIFS(Cont!$B:$B,Cont!$F:$F,"C",Cont!$A:$A,S21)</f>
        <v>0</v>
      </c>
      <c r="U21" s="113">
        <f t="shared" si="4"/>
        <v>253.64999999999995</v>
      </c>
      <c r="W21" s="114">
        <v>43056</v>
      </c>
      <c r="X21" s="113">
        <f>SUMIFS(Cont!$B:$B,Cont!$F:$F,"C",Cont!$A:$A,W21)</f>
        <v>0</v>
      </c>
      <c r="Y21" s="113">
        <f t="shared" si="5"/>
        <v>135.00999999999993</v>
      </c>
    </row>
    <row r="22" spans="3:25" x14ac:dyDescent="0.25">
      <c r="C22" s="114">
        <v>42753</v>
      </c>
      <c r="D22" s="113">
        <f>SUMIFS(Cont!$B:$B,Cont!$F:$F,"C",Cont!$A:$A,C22)</f>
        <v>0</v>
      </c>
      <c r="E22" s="113">
        <f t="shared" si="0"/>
        <v>1263.1099999999999</v>
      </c>
      <c r="F22" s="35"/>
      <c r="G22" s="114">
        <v>42812</v>
      </c>
      <c r="H22" s="113">
        <f>SUMIFS(Cont!$B:$B,Cont!$F:$F,"C",Cont!$A:$A,G22)</f>
        <v>30</v>
      </c>
      <c r="I22" s="113">
        <f t="shared" si="1"/>
        <v>1603.61</v>
      </c>
      <c r="K22" s="114">
        <v>42873</v>
      </c>
      <c r="L22" s="113">
        <f>SUMIFS(Cont!$B:$B,Cont!$F:$F,"C",Cont!$A:$A,K22)</f>
        <v>0</v>
      </c>
      <c r="M22" s="113">
        <f t="shared" si="2"/>
        <v>562.52</v>
      </c>
      <c r="O22" s="114">
        <v>42934</v>
      </c>
      <c r="P22" s="113">
        <f>SUMIFS(Cont!$B:$B,Cont!$F:$F,"C",Cont!$A:$A,O22)</f>
        <v>0</v>
      </c>
      <c r="Q22" s="113">
        <f t="shared" si="3"/>
        <v>361.91999999999996</v>
      </c>
      <c r="S22" s="114">
        <v>42996</v>
      </c>
      <c r="T22" s="113">
        <f>SUMIFS(Cont!$B:$B,Cont!$F:$F,"C",Cont!$A:$A,S22)</f>
        <v>0</v>
      </c>
      <c r="U22" s="113">
        <f t="shared" si="4"/>
        <v>253.64999999999995</v>
      </c>
      <c r="W22" s="114">
        <v>43057</v>
      </c>
      <c r="X22" s="113">
        <f>SUMIFS(Cont!$B:$B,Cont!$F:$F,"C",Cont!$A:$A,W22)</f>
        <v>0</v>
      </c>
      <c r="Y22" s="113">
        <f t="shared" si="5"/>
        <v>135.00999999999993</v>
      </c>
    </row>
    <row r="23" spans="3:25" x14ac:dyDescent="0.25">
      <c r="C23" s="114">
        <v>42754</v>
      </c>
      <c r="D23" s="113">
        <f>SUMIFS(Cont!$B:$B,Cont!$F:$F,"C",Cont!$A:$A,C23)</f>
        <v>0</v>
      </c>
      <c r="E23" s="113">
        <f t="shared" si="0"/>
        <v>1263.1099999999999</v>
      </c>
      <c r="F23" s="35"/>
      <c r="G23" s="114">
        <v>42813</v>
      </c>
      <c r="H23" s="113">
        <f>SUMIFS(Cont!$B:$B,Cont!$F:$F,"C",Cont!$A:$A,G23)</f>
        <v>0</v>
      </c>
      <c r="I23" s="113">
        <f t="shared" si="1"/>
        <v>1603.61</v>
      </c>
      <c r="K23" s="114">
        <v>42874</v>
      </c>
      <c r="L23" s="113">
        <f>SUMIFS(Cont!$B:$B,Cont!$F:$F,"C",Cont!$A:$A,K23)</f>
        <v>0</v>
      </c>
      <c r="M23" s="113">
        <f t="shared" si="2"/>
        <v>562.52</v>
      </c>
      <c r="O23" s="114">
        <v>42935</v>
      </c>
      <c r="P23" s="113">
        <f>SUMIFS(Cont!$B:$B,Cont!$F:$F,"C",Cont!$A:$A,O23)</f>
        <v>0</v>
      </c>
      <c r="Q23" s="113">
        <f t="shared" si="3"/>
        <v>361.91999999999996</v>
      </c>
      <c r="S23" s="114">
        <v>42997</v>
      </c>
      <c r="T23" s="113">
        <f>SUMIFS(Cont!$B:$B,Cont!$F:$F,"C",Cont!$A:$A,S23)</f>
        <v>0</v>
      </c>
      <c r="U23" s="113">
        <f t="shared" si="4"/>
        <v>253.64999999999995</v>
      </c>
      <c r="W23" s="114">
        <v>43058</v>
      </c>
      <c r="X23" s="113">
        <f>SUMIFS(Cont!$B:$B,Cont!$F:$F,"C",Cont!$A:$A,W23)</f>
        <v>0</v>
      </c>
      <c r="Y23" s="113">
        <f t="shared" si="5"/>
        <v>135.00999999999993</v>
      </c>
    </row>
    <row r="24" spans="3:25" x14ac:dyDescent="0.25">
      <c r="C24" s="114">
        <v>42755</v>
      </c>
      <c r="D24" s="113">
        <f>SUMIFS(Cont!$B:$B,Cont!$F:$F,"C",Cont!$A:$A,C24)</f>
        <v>0</v>
      </c>
      <c r="E24" s="113">
        <f t="shared" si="0"/>
        <v>1263.1099999999999</v>
      </c>
      <c r="F24" s="35"/>
      <c r="G24" s="114">
        <v>42814</v>
      </c>
      <c r="H24" s="113">
        <f>SUMIFS(Cont!$B:$B,Cont!$F:$F,"C",Cont!$A:$A,G24)</f>
        <v>50</v>
      </c>
      <c r="I24" s="113">
        <f t="shared" si="1"/>
        <v>1653.61</v>
      </c>
      <c r="K24" s="114">
        <v>42875</v>
      </c>
      <c r="L24" s="113">
        <f>SUMIFS(Cont!$B:$B,Cont!$F:$F,"C",Cont!$A:$A,K24)</f>
        <v>0</v>
      </c>
      <c r="M24" s="113">
        <f t="shared" si="2"/>
        <v>562.52</v>
      </c>
      <c r="O24" s="114">
        <v>42936</v>
      </c>
      <c r="P24" s="113">
        <f>SUMIFS(Cont!$B:$B,Cont!$F:$F,"C",Cont!$A:$A,O24)</f>
        <v>0</v>
      </c>
      <c r="Q24" s="113">
        <f t="shared" si="3"/>
        <v>361.91999999999996</v>
      </c>
      <c r="S24" s="114">
        <v>42998</v>
      </c>
      <c r="T24" s="113">
        <f>SUMIFS(Cont!$B:$B,Cont!$F:$F,"C",Cont!$A:$A,S24)</f>
        <v>0</v>
      </c>
      <c r="U24" s="113">
        <f t="shared" si="4"/>
        <v>253.64999999999995</v>
      </c>
      <c r="W24" s="114">
        <v>43059</v>
      </c>
      <c r="X24" s="113">
        <f>SUMIFS(Cont!$B:$B,Cont!$F:$F,"C",Cont!$A:$A,W24)</f>
        <v>0</v>
      </c>
      <c r="Y24" s="113">
        <f t="shared" si="5"/>
        <v>135.00999999999993</v>
      </c>
    </row>
    <row r="25" spans="3:25" x14ac:dyDescent="0.25">
      <c r="C25" s="114">
        <v>42756</v>
      </c>
      <c r="D25" s="113">
        <f>SUMIFS(Cont!$B:$B,Cont!$F:$F,"C",Cont!$A:$A,C25)</f>
        <v>0</v>
      </c>
      <c r="E25" s="113">
        <f t="shared" si="0"/>
        <v>1263.1099999999999</v>
      </c>
      <c r="F25" s="35"/>
      <c r="G25" s="114">
        <v>42815</v>
      </c>
      <c r="H25" s="113">
        <f>SUMIFS(Cont!$B:$B,Cont!$F:$F,"C",Cont!$A:$A,G25)</f>
        <v>0</v>
      </c>
      <c r="I25" s="113">
        <f t="shared" si="1"/>
        <v>1653.61</v>
      </c>
      <c r="K25" s="114">
        <v>42876</v>
      </c>
      <c r="L25" s="113">
        <f>SUMIFS(Cont!$B:$B,Cont!$F:$F,"C",Cont!$A:$A,K25)</f>
        <v>0</v>
      </c>
      <c r="M25" s="113">
        <f t="shared" si="2"/>
        <v>562.52</v>
      </c>
      <c r="O25" s="114">
        <v>42937</v>
      </c>
      <c r="P25" s="113">
        <f>SUMIFS(Cont!$B:$B,Cont!$F:$F,"C",Cont!$A:$A,O25)</f>
        <v>0</v>
      </c>
      <c r="Q25" s="113">
        <f t="shared" si="3"/>
        <v>361.91999999999996</v>
      </c>
      <c r="S25" s="114">
        <v>42999</v>
      </c>
      <c r="T25" s="113">
        <f>SUMIFS(Cont!$B:$B,Cont!$F:$F,"C",Cont!$A:$A,S25)</f>
        <v>0</v>
      </c>
      <c r="U25" s="113">
        <f t="shared" si="4"/>
        <v>253.64999999999995</v>
      </c>
      <c r="W25" s="114">
        <v>43060</v>
      </c>
      <c r="X25" s="113">
        <f>SUMIFS(Cont!$B:$B,Cont!$F:$F,"C",Cont!$A:$A,W25)</f>
        <v>0</v>
      </c>
      <c r="Y25" s="113">
        <f t="shared" si="5"/>
        <v>135.00999999999993</v>
      </c>
    </row>
    <row r="26" spans="3:25" x14ac:dyDescent="0.25">
      <c r="C26" s="114">
        <v>42757</v>
      </c>
      <c r="D26" s="113">
        <f>SUMIFS(Cont!$B:$B,Cont!$F:$F,"C",Cont!$A:$A,C26)</f>
        <v>0</v>
      </c>
      <c r="E26" s="113">
        <f t="shared" si="0"/>
        <v>1263.1099999999999</v>
      </c>
      <c r="F26" s="35"/>
      <c r="G26" s="114">
        <v>42816</v>
      </c>
      <c r="H26" s="113">
        <f>SUMIFS(Cont!$B:$B,Cont!$F:$F,"C",Cont!$A:$A,G26)</f>
        <v>0</v>
      </c>
      <c r="I26" s="113">
        <f t="shared" si="1"/>
        <v>1653.61</v>
      </c>
      <c r="K26" s="114">
        <v>42877</v>
      </c>
      <c r="L26" s="113">
        <f>SUMIFS(Cont!$B:$B,Cont!$F:$F,"C",Cont!$A:$A,K26)</f>
        <v>0</v>
      </c>
      <c r="M26" s="113">
        <f t="shared" si="2"/>
        <v>562.52</v>
      </c>
      <c r="O26" s="114">
        <v>42938</v>
      </c>
      <c r="P26" s="113">
        <f>SUMIFS(Cont!$B:$B,Cont!$F:$F,"C",Cont!$A:$A,O26)</f>
        <v>0</v>
      </c>
      <c r="Q26" s="113">
        <f t="shared" si="3"/>
        <v>361.91999999999996</v>
      </c>
      <c r="S26" s="114">
        <v>43000</v>
      </c>
      <c r="T26" s="113">
        <f>SUMIFS(Cont!$B:$B,Cont!$F:$F,"C",Cont!$A:$A,S26)</f>
        <v>0</v>
      </c>
      <c r="U26" s="113">
        <f t="shared" si="4"/>
        <v>253.64999999999995</v>
      </c>
      <c r="W26" s="114">
        <v>43061</v>
      </c>
      <c r="X26" s="113">
        <f>SUMIFS(Cont!$B:$B,Cont!$F:$F,"C",Cont!$A:$A,W26)</f>
        <v>0</v>
      </c>
      <c r="Y26" s="113">
        <f t="shared" si="5"/>
        <v>135.00999999999993</v>
      </c>
    </row>
    <row r="27" spans="3:25" x14ac:dyDescent="0.25">
      <c r="C27" s="114">
        <v>42758</v>
      </c>
      <c r="D27" s="113">
        <f>SUMIFS(Cont!$B:$B,Cont!$F:$F,"C",Cont!$A:$A,C27)</f>
        <v>0</v>
      </c>
      <c r="E27" s="113">
        <f t="shared" si="0"/>
        <v>1263.1099999999999</v>
      </c>
      <c r="F27" s="35"/>
      <c r="G27" s="114">
        <v>42817</v>
      </c>
      <c r="H27" s="113">
        <f>SUMIFS(Cont!$B:$B,Cont!$F:$F,"C",Cont!$A:$A,G27)</f>
        <v>0</v>
      </c>
      <c r="I27" s="113">
        <f t="shared" si="1"/>
        <v>1653.61</v>
      </c>
      <c r="K27" s="114">
        <v>42878</v>
      </c>
      <c r="L27" s="113">
        <f>SUMIFS(Cont!$B:$B,Cont!$F:$F,"C",Cont!$A:$A,K27)</f>
        <v>0</v>
      </c>
      <c r="M27" s="113">
        <f t="shared" si="2"/>
        <v>562.52</v>
      </c>
      <c r="O27" s="114">
        <v>42939</v>
      </c>
      <c r="P27" s="113">
        <f>SUMIFS(Cont!$B:$B,Cont!$F:$F,"C",Cont!$A:$A,O27)</f>
        <v>0</v>
      </c>
      <c r="Q27" s="113">
        <f t="shared" si="3"/>
        <v>361.91999999999996</v>
      </c>
      <c r="S27" s="114">
        <v>43001</v>
      </c>
      <c r="T27" s="113">
        <f>SUMIFS(Cont!$B:$B,Cont!$F:$F,"C",Cont!$A:$A,S27)</f>
        <v>0</v>
      </c>
      <c r="U27" s="113">
        <f t="shared" si="4"/>
        <v>253.64999999999995</v>
      </c>
      <c r="W27" s="114">
        <v>43062</v>
      </c>
      <c r="X27" s="113">
        <f>SUMIFS(Cont!$B:$B,Cont!$F:$F,"C",Cont!$A:$A,W27)</f>
        <v>0</v>
      </c>
      <c r="Y27" s="113">
        <f t="shared" si="5"/>
        <v>135.00999999999993</v>
      </c>
    </row>
    <row r="28" spans="3:25" x14ac:dyDescent="0.25">
      <c r="C28" s="114">
        <v>42759</v>
      </c>
      <c r="D28" s="113">
        <f>SUMIFS(Cont!$B:$B,Cont!$F:$F,"C",Cont!$A:$A,C28)</f>
        <v>0</v>
      </c>
      <c r="E28" s="113">
        <f t="shared" si="0"/>
        <v>1263.1099999999999</v>
      </c>
      <c r="F28" s="35"/>
      <c r="G28" s="114">
        <v>42818</v>
      </c>
      <c r="H28" s="113">
        <f>SUMIFS(Cont!$B:$B,Cont!$F:$F,"C",Cont!$A:$A,G28)</f>
        <v>-4.75</v>
      </c>
      <c r="I28" s="113">
        <f t="shared" si="1"/>
        <v>1648.86</v>
      </c>
      <c r="K28" s="114">
        <v>42879</v>
      </c>
      <c r="L28" s="113">
        <f>SUMIFS(Cont!$B:$B,Cont!$F:$F,"C",Cont!$A:$A,K28)</f>
        <v>0</v>
      </c>
      <c r="M28" s="113">
        <f t="shared" si="2"/>
        <v>562.52</v>
      </c>
      <c r="O28" s="114">
        <v>42940</v>
      </c>
      <c r="P28" s="113">
        <f>SUMIFS(Cont!$B:$B,Cont!$F:$F,"C",Cont!$A:$A,O28)</f>
        <v>0</v>
      </c>
      <c r="Q28" s="113">
        <f t="shared" si="3"/>
        <v>361.91999999999996</v>
      </c>
      <c r="S28" s="114">
        <v>43002</v>
      </c>
      <c r="T28" s="113">
        <f>SUMIFS(Cont!$B:$B,Cont!$F:$F,"C",Cont!$A:$A,S28)</f>
        <v>0</v>
      </c>
      <c r="U28" s="113">
        <f t="shared" si="4"/>
        <v>253.64999999999995</v>
      </c>
      <c r="W28" s="114">
        <v>43063</v>
      </c>
      <c r="X28" s="113">
        <f>SUMIFS(Cont!$B:$B,Cont!$F:$F,"C",Cont!$A:$A,W28)</f>
        <v>0</v>
      </c>
      <c r="Y28" s="113">
        <f t="shared" si="5"/>
        <v>135.00999999999993</v>
      </c>
    </row>
    <row r="29" spans="3:25" x14ac:dyDescent="0.25">
      <c r="C29" s="114">
        <v>42760</v>
      </c>
      <c r="D29" s="113">
        <f>SUMIFS(Cont!$B:$B,Cont!$F:$F,"C",Cont!$A:$A,C29)</f>
        <v>0</v>
      </c>
      <c r="E29" s="113">
        <f t="shared" si="0"/>
        <v>1263.1099999999999</v>
      </c>
      <c r="F29" s="35"/>
      <c r="G29" s="114">
        <v>42819</v>
      </c>
      <c r="H29" s="113">
        <f>SUMIFS(Cont!$B:$B,Cont!$F:$F,"C",Cont!$A:$A,G29)</f>
        <v>0</v>
      </c>
      <c r="I29" s="113">
        <f t="shared" si="1"/>
        <v>1648.86</v>
      </c>
      <c r="K29" s="114">
        <v>42880</v>
      </c>
      <c r="L29" s="113">
        <f>SUMIFS(Cont!$B:$B,Cont!$F:$F,"C",Cont!$A:$A,K29)</f>
        <v>0</v>
      </c>
      <c r="M29" s="113">
        <f t="shared" si="2"/>
        <v>562.52</v>
      </c>
      <c r="O29" s="114">
        <v>42941</v>
      </c>
      <c r="P29" s="113">
        <f>SUMIFS(Cont!$B:$B,Cont!$F:$F,"C",Cont!$A:$A,O29)</f>
        <v>0</v>
      </c>
      <c r="Q29" s="113">
        <f t="shared" si="3"/>
        <v>361.91999999999996</v>
      </c>
      <c r="S29" s="114">
        <v>43003</v>
      </c>
      <c r="T29" s="113">
        <f>SUMIFS(Cont!$B:$B,Cont!$F:$F,"C",Cont!$A:$A,S29)</f>
        <v>0</v>
      </c>
      <c r="U29" s="113">
        <f t="shared" si="4"/>
        <v>253.64999999999995</v>
      </c>
      <c r="W29" s="114">
        <v>43064</v>
      </c>
      <c r="X29" s="113">
        <f>SUMIFS(Cont!$B:$B,Cont!$F:$F,"C",Cont!$A:$A,W29)</f>
        <v>0</v>
      </c>
      <c r="Y29" s="113">
        <f t="shared" si="5"/>
        <v>135.00999999999993</v>
      </c>
    </row>
    <row r="30" spans="3:25" x14ac:dyDescent="0.25">
      <c r="C30" s="114">
        <v>42761</v>
      </c>
      <c r="D30" s="113">
        <f>SUMIFS(Cont!$B:$B,Cont!$F:$F,"C",Cont!$A:$A,C30)</f>
        <v>0</v>
      </c>
      <c r="E30" s="113">
        <f t="shared" si="0"/>
        <v>1263.1099999999999</v>
      </c>
      <c r="F30" s="35"/>
      <c r="G30" s="114">
        <v>42820</v>
      </c>
      <c r="H30" s="113">
        <f>SUMIFS(Cont!$B:$B,Cont!$F:$F,"C",Cont!$A:$A,G30)</f>
        <v>-83.84</v>
      </c>
      <c r="I30" s="113">
        <f t="shared" si="1"/>
        <v>1565.02</v>
      </c>
      <c r="K30" s="114">
        <v>42881</v>
      </c>
      <c r="L30" s="113">
        <f>SUMIFS(Cont!$B:$B,Cont!$F:$F,"C",Cont!$A:$A,K30)</f>
        <v>0</v>
      </c>
      <c r="M30" s="113">
        <f t="shared" si="2"/>
        <v>562.52</v>
      </c>
      <c r="O30" s="114">
        <v>42942</v>
      </c>
      <c r="P30" s="113">
        <f>SUMIFS(Cont!$B:$B,Cont!$F:$F,"C",Cont!$A:$A,O30)</f>
        <v>0</v>
      </c>
      <c r="Q30" s="113">
        <f t="shared" si="3"/>
        <v>361.91999999999996</v>
      </c>
      <c r="S30" s="114">
        <v>43004</v>
      </c>
      <c r="T30" s="113">
        <f>SUMIFS(Cont!$B:$B,Cont!$F:$F,"C",Cont!$A:$A,S30)</f>
        <v>0</v>
      </c>
      <c r="U30" s="113">
        <f t="shared" si="4"/>
        <v>253.64999999999995</v>
      </c>
      <c r="W30" s="114">
        <v>43065</v>
      </c>
      <c r="X30" s="113">
        <f>SUMIFS(Cont!$B:$B,Cont!$F:$F,"C",Cont!$A:$A,W30)</f>
        <v>0</v>
      </c>
      <c r="Y30" s="113">
        <f t="shared" si="5"/>
        <v>135.00999999999993</v>
      </c>
    </row>
    <row r="31" spans="3:25" x14ac:dyDescent="0.25">
      <c r="C31" s="114">
        <v>42762</v>
      </c>
      <c r="D31" s="113">
        <f>SUMIFS(Cont!$B:$B,Cont!$F:$F,"C",Cont!$A:$A,C31)</f>
        <v>0</v>
      </c>
      <c r="E31" s="113">
        <f t="shared" si="0"/>
        <v>1263.1099999999999</v>
      </c>
      <c r="F31" s="35"/>
      <c r="G31" s="114">
        <v>42821</v>
      </c>
      <c r="H31" s="113">
        <f>SUMIFS(Cont!$B:$B,Cont!$F:$F,"C",Cont!$A:$A,G31)</f>
        <v>0</v>
      </c>
      <c r="I31" s="113">
        <f t="shared" si="1"/>
        <v>1565.02</v>
      </c>
      <c r="K31" s="114">
        <v>42882</v>
      </c>
      <c r="L31" s="113">
        <f>SUMIFS(Cont!$B:$B,Cont!$F:$F,"C",Cont!$A:$A,K31)</f>
        <v>0</v>
      </c>
      <c r="M31" s="113">
        <f t="shared" si="2"/>
        <v>562.52</v>
      </c>
      <c r="O31" s="114">
        <v>42943</v>
      </c>
      <c r="P31" s="113">
        <f>SUMIFS(Cont!$B:$B,Cont!$F:$F,"C",Cont!$A:$A,O31)</f>
        <v>0</v>
      </c>
      <c r="Q31" s="113">
        <f t="shared" si="3"/>
        <v>361.91999999999996</v>
      </c>
      <c r="S31" s="114">
        <v>43005</v>
      </c>
      <c r="T31" s="113">
        <f>SUMIFS(Cont!$B:$B,Cont!$F:$F,"C",Cont!$A:$A,S31)</f>
        <v>0</v>
      </c>
      <c r="U31" s="113">
        <f t="shared" si="4"/>
        <v>253.64999999999995</v>
      </c>
      <c r="W31" s="114">
        <v>43066</v>
      </c>
      <c r="X31" s="113">
        <f>SUMIFS(Cont!$B:$B,Cont!$F:$F,"C",Cont!$A:$A,W31)</f>
        <v>0</v>
      </c>
      <c r="Y31" s="113">
        <f t="shared" si="5"/>
        <v>135.00999999999993</v>
      </c>
    </row>
    <row r="32" spans="3:25" x14ac:dyDescent="0.25">
      <c r="C32" s="114">
        <v>42763</v>
      </c>
      <c r="D32" s="113">
        <f>SUMIFS(Cont!$B:$B,Cont!$F:$F,"C",Cont!$A:$A,C32)</f>
        <v>0</v>
      </c>
      <c r="E32" s="113">
        <f t="shared" si="0"/>
        <v>1263.1099999999999</v>
      </c>
      <c r="F32" s="35"/>
      <c r="G32" s="114">
        <v>42822</v>
      </c>
      <c r="H32" s="113">
        <f>SUMIFS(Cont!$B:$B,Cont!$F:$F,"C",Cont!$A:$A,G32)</f>
        <v>0</v>
      </c>
      <c r="I32" s="113">
        <f t="shared" si="1"/>
        <v>1565.02</v>
      </c>
      <c r="K32" s="114">
        <v>42883</v>
      </c>
      <c r="L32" s="113">
        <f>SUMIFS(Cont!$B:$B,Cont!$F:$F,"C",Cont!$A:$A,K32)</f>
        <v>0</v>
      </c>
      <c r="M32" s="113">
        <f t="shared" si="2"/>
        <v>562.52</v>
      </c>
      <c r="O32" s="114">
        <v>42944</v>
      </c>
      <c r="P32" s="113">
        <f>SUMIFS(Cont!$B:$B,Cont!$F:$F,"C",Cont!$A:$A,O32)</f>
        <v>0</v>
      </c>
      <c r="Q32" s="113">
        <f t="shared" si="3"/>
        <v>361.91999999999996</v>
      </c>
      <c r="S32" s="114">
        <v>43006</v>
      </c>
      <c r="T32" s="113">
        <f>SUMIFS(Cont!$B:$B,Cont!$F:$F,"C",Cont!$A:$A,S32)</f>
        <v>0</v>
      </c>
      <c r="U32" s="113">
        <f t="shared" si="4"/>
        <v>253.64999999999995</v>
      </c>
      <c r="W32" s="114">
        <v>43067</v>
      </c>
      <c r="X32" s="113">
        <f>SUMIFS(Cont!$B:$B,Cont!$F:$F,"C",Cont!$A:$A,W32)</f>
        <v>0</v>
      </c>
      <c r="Y32" s="113">
        <f t="shared" si="5"/>
        <v>135.00999999999993</v>
      </c>
    </row>
    <row r="33" spans="3:25" x14ac:dyDescent="0.25">
      <c r="C33" s="114">
        <v>42764</v>
      </c>
      <c r="D33" s="113">
        <f>SUMIFS(Cont!$B:$B,Cont!$F:$F,"C",Cont!$A:$A,C33)</f>
        <v>0</v>
      </c>
      <c r="E33" s="113">
        <f t="shared" si="0"/>
        <v>1263.1099999999999</v>
      </c>
      <c r="F33" s="35"/>
      <c r="G33" s="114">
        <v>42823</v>
      </c>
      <c r="H33" s="113">
        <f>SUMIFS(Cont!$B:$B,Cont!$F:$F,"C",Cont!$A:$A,G33)</f>
        <v>0</v>
      </c>
      <c r="I33" s="113">
        <f t="shared" si="1"/>
        <v>1565.02</v>
      </c>
      <c r="K33" s="114">
        <v>42884</v>
      </c>
      <c r="L33" s="113">
        <f>SUMIFS(Cont!$B:$B,Cont!$F:$F,"C",Cont!$A:$A,K33)</f>
        <v>0</v>
      </c>
      <c r="M33" s="113">
        <f t="shared" si="2"/>
        <v>562.52</v>
      </c>
      <c r="O33" s="114">
        <v>42945</v>
      </c>
      <c r="P33" s="113">
        <f>SUMIFS(Cont!$B:$B,Cont!$F:$F,"C",Cont!$A:$A,O33)</f>
        <v>0</v>
      </c>
      <c r="Q33" s="113">
        <f t="shared" si="3"/>
        <v>361.91999999999996</v>
      </c>
      <c r="S33" s="114">
        <v>43007</v>
      </c>
      <c r="T33" s="113">
        <f>SUMIFS(Cont!$B:$B,Cont!$F:$F,"C",Cont!$A:$A,S33)</f>
        <v>0</v>
      </c>
      <c r="U33" s="113">
        <f t="shared" si="4"/>
        <v>253.64999999999995</v>
      </c>
      <c r="W33" s="114">
        <v>43068</v>
      </c>
      <c r="X33" s="113">
        <f>SUMIFS(Cont!$B:$B,Cont!$F:$F,"C",Cont!$A:$A,W33)</f>
        <v>0</v>
      </c>
      <c r="Y33" s="113">
        <f t="shared" si="5"/>
        <v>135.00999999999993</v>
      </c>
    </row>
    <row r="34" spans="3:25" x14ac:dyDescent="0.25">
      <c r="C34" s="114">
        <v>42765</v>
      </c>
      <c r="D34" s="113">
        <f>SUMIFS(Cont!$B:$B,Cont!$F:$F,"C",Cont!$A:$A,C34)</f>
        <v>0</v>
      </c>
      <c r="E34" s="113">
        <f t="shared" si="0"/>
        <v>1263.1099999999999</v>
      </c>
      <c r="F34" s="35"/>
      <c r="G34" s="114">
        <v>42824</v>
      </c>
      <c r="H34" s="113">
        <f>SUMIFS(Cont!$B:$B,Cont!$F:$F,"C",Cont!$A:$A,G34)</f>
        <v>0</v>
      </c>
      <c r="I34" s="113">
        <f t="shared" si="1"/>
        <v>1565.02</v>
      </c>
      <c r="K34" s="114">
        <v>42885</v>
      </c>
      <c r="L34" s="113">
        <f>SUMIFS(Cont!$B:$B,Cont!$F:$F,"C",Cont!$A:$A,K34)</f>
        <v>0</v>
      </c>
      <c r="M34" s="113">
        <f t="shared" si="2"/>
        <v>562.52</v>
      </c>
      <c r="O34" s="114">
        <v>42946</v>
      </c>
      <c r="P34" s="113">
        <f>SUMIFS(Cont!$B:$B,Cont!$F:$F,"C",Cont!$A:$A,O34)</f>
        <v>0</v>
      </c>
      <c r="Q34" s="113">
        <f t="shared" si="3"/>
        <v>361.91999999999996</v>
      </c>
      <c r="S34" s="114">
        <v>43008</v>
      </c>
      <c r="T34" s="113">
        <f>SUMIFS(Cont!$B:$B,Cont!$F:$F,"C",Cont!$A:$A,S34)</f>
        <v>-82.44</v>
      </c>
      <c r="U34" s="113">
        <f t="shared" si="4"/>
        <v>171.20999999999995</v>
      </c>
      <c r="W34" s="114">
        <v>43069</v>
      </c>
      <c r="X34" s="113">
        <f>SUMIFS(Cont!$B:$B,Cont!$F:$F,"C",Cont!$A:$A,W34)</f>
        <v>0</v>
      </c>
      <c r="Y34" s="113">
        <f t="shared" si="5"/>
        <v>135.00999999999993</v>
      </c>
    </row>
    <row r="35" spans="3:25" x14ac:dyDescent="0.25">
      <c r="C35" s="114">
        <v>42766</v>
      </c>
      <c r="D35" s="113">
        <f>SUMIFS(Cont!$B:$B,Cont!$F:$F,"C",Cont!$A:$A,C35)</f>
        <v>0</v>
      </c>
      <c r="E35" s="113">
        <f t="shared" si="0"/>
        <v>1263.1099999999999</v>
      </c>
      <c r="F35" s="35"/>
      <c r="G35" s="114">
        <v>42825</v>
      </c>
      <c r="H35" s="113">
        <f>SUMIFS(Cont!$B:$B,Cont!$F:$F,"C",Cont!$A:$A,G35)</f>
        <v>0</v>
      </c>
      <c r="I35" s="113">
        <f t="shared" si="1"/>
        <v>1565.02</v>
      </c>
      <c r="K35" s="114">
        <v>42886</v>
      </c>
      <c r="L35" s="113">
        <f>SUMIFS(Cont!$B:$B,Cont!$F:$F,"C",Cont!$A:$A,K35)</f>
        <v>0</v>
      </c>
      <c r="M35" s="113">
        <f t="shared" si="2"/>
        <v>562.52</v>
      </c>
      <c r="O35" s="114">
        <v>42947</v>
      </c>
      <c r="P35" s="113">
        <f>SUMIFS(Cont!$B:$B,Cont!$F:$F,"C",Cont!$A:$A,O35)</f>
        <v>-21.2</v>
      </c>
      <c r="Q35" s="113">
        <f t="shared" si="3"/>
        <v>340.71999999999997</v>
      </c>
      <c r="S35" s="114">
        <v>43009</v>
      </c>
      <c r="T35" s="113">
        <f>SUMIFS(Cont!$B:$B,Cont!$F:$F,"C",Cont!$A:$A,S35)</f>
        <v>0</v>
      </c>
      <c r="U35" s="113">
        <f t="shared" si="4"/>
        <v>171.20999999999995</v>
      </c>
      <c r="W35" s="114">
        <v>43070</v>
      </c>
      <c r="X35" s="113">
        <f>SUMIFS(Cont!$B:$B,Cont!$F:$F,"C",Cont!$A:$A,W35)</f>
        <v>0</v>
      </c>
      <c r="Y35" s="113">
        <f t="shared" si="5"/>
        <v>135.00999999999993</v>
      </c>
    </row>
    <row r="36" spans="3:25" x14ac:dyDescent="0.25">
      <c r="C36" s="114">
        <v>42767</v>
      </c>
      <c r="D36" s="113">
        <f>SUMIFS(Cont!$B:$B,Cont!$F:$F,"C",Cont!$A:$A,C36)</f>
        <v>0</v>
      </c>
      <c r="E36" s="113">
        <f t="shared" si="0"/>
        <v>1263.1099999999999</v>
      </c>
      <c r="F36" s="35"/>
      <c r="G36" s="114">
        <v>42826</v>
      </c>
      <c r="H36" s="113">
        <f>SUMIFS(Cont!$B:$B,Cont!$F:$F,"C",Cont!$A:$A,G36)</f>
        <v>0</v>
      </c>
      <c r="I36" s="113">
        <f t="shared" si="1"/>
        <v>1565.02</v>
      </c>
      <c r="K36" s="114">
        <v>42887</v>
      </c>
      <c r="L36" s="113">
        <f>SUMIFS(Cont!$B:$B,Cont!$F:$F,"C",Cont!$A:$A,K36)</f>
        <v>0</v>
      </c>
      <c r="M36" s="113">
        <f t="shared" si="2"/>
        <v>562.52</v>
      </c>
      <c r="O36" s="114">
        <v>42948</v>
      </c>
      <c r="P36" s="113">
        <f>SUMIFS(Cont!$B:$B,Cont!$F:$F,"C",Cont!$A:$A,O36)</f>
        <v>0</v>
      </c>
      <c r="Q36" s="113">
        <f t="shared" si="3"/>
        <v>340.71999999999997</v>
      </c>
      <c r="S36" s="114">
        <v>43010</v>
      </c>
      <c r="T36" s="113">
        <f>SUMIFS(Cont!$B:$B,Cont!$F:$F,"C",Cont!$A:$A,S36)</f>
        <v>0</v>
      </c>
      <c r="U36" s="113">
        <f t="shared" si="4"/>
        <v>171.20999999999995</v>
      </c>
      <c r="W36" s="114">
        <v>43071</v>
      </c>
      <c r="X36" s="113">
        <f>SUMIFS(Cont!$B:$B,Cont!$F:$F,"C",Cont!$A:$A,W36)</f>
        <v>0</v>
      </c>
      <c r="Y36" s="113">
        <f t="shared" si="5"/>
        <v>135.00999999999993</v>
      </c>
    </row>
    <row r="37" spans="3:25" x14ac:dyDescent="0.25">
      <c r="C37" s="114">
        <v>42768</v>
      </c>
      <c r="D37" s="113">
        <f>SUMIFS(Cont!$B:$B,Cont!$F:$F,"C",Cont!$A:$A,C37)</f>
        <v>0</v>
      </c>
      <c r="E37" s="113">
        <f t="shared" si="0"/>
        <v>1263.1099999999999</v>
      </c>
      <c r="F37" s="35"/>
      <c r="G37" s="114">
        <v>42827</v>
      </c>
      <c r="H37" s="113">
        <f>SUMIFS(Cont!$B:$B,Cont!$F:$F,"C",Cont!$A:$A,G37)</f>
        <v>0</v>
      </c>
      <c r="I37" s="113">
        <f t="shared" si="1"/>
        <v>1565.02</v>
      </c>
      <c r="K37" s="114">
        <v>42888</v>
      </c>
      <c r="L37" s="113">
        <f>SUMIFS(Cont!$B:$B,Cont!$F:$F,"C",Cont!$A:$A,K37)</f>
        <v>0</v>
      </c>
      <c r="M37" s="113">
        <f t="shared" si="2"/>
        <v>562.52</v>
      </c>
      <c r="O37" s="114">
        <v>42949</v>
      </c>
      <c r="P37" s="113">
        <f>SUMIFS(Cont!$B:$B,Cont!$F:$F,"C",Cont!$A:$A,O37)</f>
        <v>0</v>
      </c>
      <c r="Q37" s="113">
        <f t="shared" si="3"/>
        <v>340.71999999999997</v>
      </c>
      <c r="S37" s="114">
        <v>43011</v>
      </c>
      <c r="T37" s="113">
        <f>SUMIFS(Cont!$B:$B,Cont!$F:$F,"C",Cont!$A:$A,S37)</f>
        <v>0</v>
      </c>
      <c r="U37" s="113">
        <f t="shared" si="4"/>
        <v>171.20999999999995</v>
      </c>
      <c r="W37" s="114">
        <v>43072</v>
      </c>
      <c r="X37" s="113">
        <f>SUMIFS(Cont!$B:$B,Cont!$F:$F,"C",Cont!$A:$A,W37)</f>
        <v>0</v>
      </c>
      <c r="Y37" s="113">
        <f t="shared" si="5"/>
        <v>135.00999999999993</v>
      </c>
    </row>
    <row r="38" spans="3:25" x14ac:dyDescent="0.25">
      <c r="C38" s="114">
        <v>42769</v>
      </c>
      <c r="D38" s="113">
        <f>SUMIFS(Cont!$B:$B,Cont!$F:$F,"C",Cont!$A:$A,C38)</f>
        <v>0</v>
      </c>
      <c r="E38" s="113">
        <f t="shared" si="0"/>
        <v>1263.1099999999999</v>
      </c>
      <c r="F38" s="35"/>
      <c r="G38" s="114">
        <v>42828</v>
      </c>
      <c r="H38" s="113">
        <f>SUMIFS(Cont!$B:$B,Cont!$F:$F,"C",Cont!$A:$A,G38)</f>
        <v>-1301</v>
      </c>
      <c r="I38" s="113">
        <f t="shared" si="1"/>
        <v>264.02</v>
      </c>
      <c r="K38" s="114">
        <v>42889</v>
      </c>
      <c r="L38" s="113">
        <f>SUMIFS(Cont!$B:$B,Cont!$F:$F,"C",Cont!$A:$A,K38)</f>
        <v>0</v>
      </c>
      <c r="M38" s="113">
        <f t="shared" si="2"/>
        <v>562.52</v>
      </c>
      <c r="O38" s="114">
        <v>42950</v>
      </c>
      <c r="P38" s="113">
        <f>SUMIFS(Cont!$B:$B,Cont!$F:$F,"C",Cont!$A:$A,O38)</f>
        <v>0</v>
      </c>
      <c r="Q38" s="113">
        <f t="shared" si="3"/>
        <v>340.71999999999997</v>
      </c>
      <c r="S38" s="114">
        <v>43012</v>
      </c>
      <c r="T38" s="113">
        <f>SUMIFS(Cont!$B:$B,Cont!$F:$F,"C",Cont!$A:$A,S38)</f>
        <v>0</v>
      </c>
      <c r="U38" s="113">
        <f t="shared" si="4"/>
        <v>171.20999999999995</v>
      </c>
      <c r="W38" s="114">
        <v>43073</v>
      </c>
      <c r="X38" s="113">
        <f>SUMIFS(Cont!$B:$B,Cont!$F:$F,"C",Cont!$A:$A,W38)</f>
        <v>0</v>
      </c>
      <c r="Y38" s="113">
        <f t="shared" si="5"/>
        <v>135.00999999999993</v>
      </c>
    </row>
    <row r="39" spans="3:25" x14ac:dyDescent="0.25">
      <c r="C39" s="114">
        <v>42770</v>
      </c>
      <c r="D39" s="113">
        <f>SUMIFS(Cont!$B:$B,Cont!$F:$F,"C",Cont!$A:$A,C39)</f>
        <v>-3.5</v>
      </c>
      <c r="E39" s="113">
        <f t="shared" si="0"/>
        <v>1259.6099999999999</v>
      </c>
      <c r="F39" s="35"/>
      <c r="G39" s="114">
        <v>42829</v>
      </c>
      <c r="H39" s="113">
        <f>SUMIFS(Cont!$B:$B,Cont!$F:$F,"C",Cont!$A:$A,G39)</f>
        <v>0</v>
      </c>
      <c r="I39" s="113">
        <f t="shared" si="1"/>
        <v>264.02</v>
      </c>
      <c r="K39" s="114">
        <v>42890</v>
      </c>
      <c r="L39" s="113">
        <f>SUMIFS(Cont!$B:$B,Cont!$F:$F,"C",Cont!$A:$A,K39)</f>
        <v>0</v>
      </c>
      <c r="M39" s="113">
        <f t="shared" si="2"/>
        <v>562.52</v>
      </c>
      <c r="O39" s="114">
        <v>42951</v>
      </c>
      <c r="P39" s="113">
        <f>SUMIFS(Cont!$B:$B,Cont!$F:$F,"C",Cont!$A:$A,O39)</f>
        <v>0</v>
      </c>
      <c r="Q39" s="113">
        <f t="shared" si="3"/>
        <v>340.71999999999997</v>
      </c>
      <c r="S39" s="114">
        <v>43013</v>
      </c>
      <c r="T39" s="113">
        <f>SUMIFS(Cont!$B:$B,Cont!$F:$F,"C",Cont!$A:$A,S39)</f>
        <v>0</v>
      </c>
      <c r="U39" s="113">
        <f t="shared" si="4"/>
        <v>171.20999999999995</v>
      </c>
      <c r="W39" s="114">
        <v>43074</v>
      </c>
      <c r="X39" s="113">
        <f>SUMIFS(Cont!$B:$B,Cont!$F:$F,"C",Cont!$A:$A,W39)</f>
        <v>0</v>
      </c>
      <c r="Y39" s="113">
        <f t="shared" si="5"/>
        <v>135.00999999999993</v>
      </c>
    </row>
    <row r="40" spans="3:25" x14ac:dyDescent="0.25">
      <c r="C40" s="114">
        <v>42771</v>
      </c>
      <c r="D40" s="113">
        <f>SUMIFS(Cont!$B:$B,Cont!$F:$F,"C",Cont!$A:$A,C40)</f>
        <v>0</v>
      </c>
      <c r="E40" s="113">
        <f t="shared" si="0"/>
        <v>1259.6099999999999</v>
      </c>
      <c r="F40" s="35"/>
      <c r="G40" s="114">
        <v>42830</v>
      </c>
      <c r="H40" s="113">
        <f>SUMIFS(Cont!$B:$B,Cont!$F:$F,"C",Cont!$A:$A,G40)</f>
        <v>0</v>
      </c>
      <c r="I40" s="113">
        <f t="shared" si="1"/>
        <v>264.02</v>
      </c>
      <c r="K40" s="114">
        <v>42891</v>
      </c>
      <c r="L40" s="113">
        <f>SUMIFS(Cont!$B:$B,Cont!$F:$F,"C",Cont!$A:$A,K40)</f>
        <v>0</v>
      </c>
      <c r="M40" s="113">
        <f t="shared" si="2"/>
        <v>562.52</v>
      </c>
      <c r="O40" s="114">
        <v>42952</v>
      </c>
      <c r="P40" s="113">
        <f>SUMIFS(Cont!$B:$B,Cont!$F:$F,"C",Cont!$A:$A,O40)</f>
        <v>0</v>
      </c>
      <c r="Q40" s="113">
        <f t="shared" si="3"/>
        <v>340.71999999999997</v>
      </c>
      <c r="S40" s="114">
        <v>43014</v>
      </c>
      <c r="T40" s="113">
        <f>SUMIFS(Cont!$B:$B,Cont!$F:$F,"C",Cont!$A:$A,S40)</f>
        <v>0</v>
      </c>
      <c r="U40" s="113">
        <f t="shared" si="4"/>
        <v>171.20999999999995</v>
      </c>
      <c r="W40" s="114">
        <v>43075</v>
      </c>
      <c r="X40" s="113">
        <f>SUMIFS(Cont!$B:$B,Cont!$F:$F,"C",Cont!$A:$A,W40)</f>
        <v>0</v>
      </c>
      <c r="Y40" s="113">
        <f t="shared" si="5"/>
        <v>135.00999999999993</v>
      </c>
    </row>
    <row r="41" spans="3:25" x14ac:dyDescent="0.25">
      <c r="C41" s="114">
        <v>42772</v>
      </c>
      <c r="D41" s="113">
        <f>SUMIFS(Cont!$B:$B,Cont!$F:$F,"C",Cont!$A:$A,C41)</f>
        <v>50</v>
      </c>
      <c r="E41" s="113">
        <f t="shared" si="0"/>
        <v>1309.6099999999999</v>
      </c>
      <c r="F41" s="35"/>
      <c r="G41" s="114">
        <v>42831</v>
      </c>
      <c r="H41" s="113">
        <f>SUMIFS(Cont!$B:$B,Cont!$F:$F,"C",Cont!$A:$A,G41)</f>
        <v>0</v>
      </c>
      <c r="I41" s="113">
        <f t="shared" si="1"/>
        <v>264.02</v>
      </c>
      <c r="K41" s="114">
        <v>42892</v>
      </c>
      <c r="L41" s="113">
        <f>SUMIFS(Cont!$B:$B,Cont!$F:$F,"C",Cont!$A:$A,K41)</f>
        <v>0</v>
      </c>
      <c r="M41" s="113">
        <f t="shared" si="2"/>
        <v>562.52</v>
      </c>
      <c r="O41" s="114">
        <v>42953</v>
      </c>
      <c r="P41" s="113">
        <f>SUMIFS(Cont!$B:$B,Cont!$F:$F,"C",Cont!$A:$A,O41)</f>
        <v>0</v>
      </c>
      <c r="Q41" s="113">
        <f t="shared" si="3"/>
        <v>340.71999999999997</v>
      </c>
      <c r="S41" s="114">
        <v>43015</v>
      </c>
      <c r="T41" s="113">
        <f>SUMIFS(Cont!$B:$B,Cont!$F:$F,"C",Cont!$A:$A,S41)</f>
        <v>0</v>
      </c>
      <c r="U41" s="113">
        <f t="shared" si="4"/>
        <v>171.20999999999995</v>
      </c>
      <c r="W41" s="114">
        <v>43076</v>
      </c>
      <c r="X41" s="113">
        <f>SUMIFS(Cont!$B:$B,Cont!$F:$F,"C",Cont!$A:$A,W41)</f>
        <v>0</v>
      </c>
      <c r="Y41" s="113">
        <f t="shared" si="5"/>
        <v>135.00999999999993</v>
      </c>
    </row>
    <row r="42" spans="3:25" x14ac:dyDescent="0.25">
      <c r="C42" s="114">
        <v>42773</v>
      </c>
      <c r="D42" s="113">
        <f>SUMIFS(Cont!$B:$B,Cont!$F:$F,"C",Cont!$A:$A,C42)</f>
        <v>0</v>
      </c>
      <c r="E42" s="113">
        <f t="shared" si="0"/>
        <v>1309.6099999999999</v>
      </c>
      <c r="F42" s="35"/>
      <c r="G42" s="114">
        <v>42832</v>
      </c>
      <c r="H42" s="113">
        <f>SUMIFS(Cont!$B:$B,Cont!$F:$F,"C",Cont!$A:$A,G42)</f>
        <v>0</v>
      </c>
      <c r="I42" s="113">
        <f t="shared" si="1"/>
        <v>264.02</v>
      </c>
      <c r="K42" s="114">
        <v>42893</v>
      </c>
      <c r="L42" s="113">
        <f>SUMIFS(Cont!$B:$B,Cont!$F:$F,"C",Cont!$A:$A,K42)</f>
        <v>0</v>
      </c>
      <c r="M42" s="113">
        <f t="shared" si="2"/>
        <v>562.52</v>
      </c>
      <c r="O42" s="114">
        <v>42954</v>
      </c>
      <c r="P42" s="113">
        <f>SUMIFS(Cont!$B:$B,Cont!$F:$F,"C",Cont!$A:$A,O42)</f>
        <v>0</v>
      </c>
      <c r="Q42" s="113">
        <f t="shared" si="3"/>
        <v>340.71999999999997</v>
      </c>
      <c r="S42" s="114">
        <v>43016</v>
      </c>
      <c r="T42" s="113">
        <f>SUMIFS(Cont!$B:$B,Cont!$F:$F,"C",Cont!$A:$A,S42)</f>
        <v>0</v>
      </c>
      <c r="U42" s="113">
        <f t="shared" si="4"/>
        <v>171.20999999999995</v>
      </c>
      <c r="W42" s="114">
        <v>43077</v>
      </c>
      <c r="X42" s="113">
        <f>SUMIFS(Cont!$B:$B,Cont!$F:$F,"C",Cont!$A:$A,W42)</f>
        <v>0</v>
      </c>
      <c r="Y42" s="113">
        <f t="shared" si="5"/>
        <v>135.00999999999993</v>
      </c>
    </row>
    <row r="43" spans="3:25" x14ac:dyDescent="0.25">
      <c r="C43" s="114">
        <v>42774</v>
      </c>
      <c r="D43" s="113">
        <f>SUMIFS(Cont!$B:$B,Cont!$F:$F,"C",Cont!$A:$A,C43)</f>
        <v>0</v>
      </c>
      <c r="E43" s="113">
        <f t="shared" si="0"/>
        <v>1309.6099999999999</v>
      </c>
      <c r="F43" s="35"/>
      <c r="G43" s="114">
        <v>42833</v>
      </c>
      <c r="H43" s="113">
        <f>SUMIFS(Cont!$B:$B,Cont!$F:$F,"C",Cont!$A:$A,G43)</f>
        <v>0</v>
      </c>
      <c r="I43" s="113">
        <f t="shared" si="1"/>
        <v>264.02</v>
      </c>
      <c r="K43" s="114">
        <v>42894</v>
      </c>
      <c r="L43" s="113">
        <f>SUMIFS(Cont!$B:$B,Cont!$F:$F,"C",Cont!$A:$A,K43)</f>
        <v>0</v>
      </c>
      <c r="M43" s="113">
        <f t="shared" si="2"/>
        <v>562.52</v>
      </c>
      <c r="O43" s="114">
        <v>42955</v>
      </c>
      <c r="P43" s="113">
        <f>SUMIFS(Cont!$B:$B,Cont!$F:$F,"C",Cont!$A:$A,O43)</f>
        <v>0</v>
      </c>
      <c r="Q43" s="113">
        <f t="shared" si="3"/>
        <v>340.71999999999997</v>
      </c>
      <c r="S43" s="114">
        <v>43017</v>
      </c>
      <c r="T43" s="113">
        <f>SUMIFS(Cont!$B:$B,Cont!$F:$F,"C",Cont!$A:$A,S43)</f>
        <v>0</v>
      </c>
      <c r="U43" s="113">
        <f t="shared" si="4"/>
        <v>171.20999999999995</v>
      </c>
      <c r="W43" s="114">
        <v>43078</v>
      </c>
      <c r="X43" s="113">
        <f>SUMIFS(Cont!$B:$B,Cont!$F:$F,"C",Cont!$A:$A,W43)</f>
        <v>0</v>
      </c>
      <c r="Y43" s="113">
        <f t="shared" si="5"/>
        <v>135.00999999999993</v>
      </c>
    </row>
    <row r="44" spans="3:25" x14ac:dyDescent="0.25">
      <c r="C44" s="114">
        <v>42775</v>
      </c>
      <c r="D44" s="113">
        <f>SUMIFS(Cont!$B:$B,Cont!$F:$F,"C",Cont!$A:$A,C44)</f>
        <v>0</v>
      </c>
      <c r="E44" s="113">
        <f t="shared" si="0"/>
        <v>1309.6099999999999</v>
      </c>
      <c r="F44" s="35"/>
      <c r="G44" s="114">
        <v>42834</v>
      </c>
      <c r="H44" s="113">
        <f>SUMIFS(Cont!$B:$B,Cont!$F:$F,"C",Cont!$A:$A,G44)</f>
        <v>0</v>
      </c>
      <c r="I44" s="113">
        <f t="shared" si="1"/>
        <v>264.02</v>
      </c>
      <c r="K44" s="114">
        <v>42895</v>
      </c>
      <c r="L44" s="113">
        <f>SUMIFS(Cont!$B:$B,Cont!$F:$F,"C",Cont!$A:$A,K44)</f>
        <v>0</v>
      </c>
      <c r="M44" s="113">
        <f t="shared" si="2"/>
        <v>562.52</v>
      </c>
      <c r="O44" s="114">
        <v>42956</v>
      </c>
      <c r="P44" s="113">
        <f>SUMIFS(Cont!$B:$B,Cont!$F:$F,"C",Cont!$A:$A,O44)</f>
        <v>0</v>
      </c>
      <c r="Q44" s="113">
        <f t="shared" si="3"/>
        <v>340.71999999999997</v>
      </c>
      <c r="S44" s="114">
        <v>43018</v>
      </c>
      <c r="T44" s="113">
        <f>SUMIFS(Cont!$B:$B,Cont!$F:$F,"C",Cont!$A:$A,S44)</f>
        <v>0</v>
      </c>
      <c r="U44" s="113">
        <f t="shared" si="4"/>
        <v>171.20999999999995</v>
      </c>
      <c r="W44" s="114">
        <v>43079</v>
      </c>
      <c r="X44" s="113">
        <f>SUMIFS(Cont!$B:$B,Cont!$F:$F,"C",Cont!$A:$A,W44)</f>
        <v>0</v>
      </c>
      <c r="Y44" s="113">
        <f t="shared" si="5"/>
        <v>135.00999999999993</v>
      </c>
    </row>
    <row r="45" spans="3:25" x14ac:dyDescent="0.25">
      <c r="C45" s="114">
        <v>42776</v>
      </c>
      <c r="D45" s="113">
        <f>SUMIFS(Cont!$B:$B,Cont!$F:$F,"C",Cont!$A:$A,C45)</f>
        <v>0</v>
      </c>
      <c r="E45" s="113">
        <f t="shared" si="0"/>
        <v>1309.6099999999999</v>
      </c>
      <c r="F45" s="35"/>
      <c r="G45" s="114">
        <v>42835</v>
      </c>
      <c r="H45" s="113">
        <f>SUMIFS(Cont!$B:$B,Cont!$F:$F,"C",Cont!$A:$A,G45)</f>
        <v>0</v>
      </c>
      <c r="I45" s="113">
        <f t="shared" si="1"/>
        <v>264.02</v>
      </c>
      <c r="K45" s="114">
        <v>42896</v>
      </c>
      <c r="L45" s="113">
        <f>SUMIFS(Cont!$B:$B,Cont!$F:$F,"C",Cont!$A:$A,K45)</f>
        <v>0</v>
      </c>
      <c r="M45" s="113">
        <f t="shared" si="2"/>
        <v>562.52</v>
      </c>
      <c r="O45" s="114">
        <v>42957</v>
      </c>
      <c r="P45" s="113">
        <f>SUMIFS(Cont!$B:$B,Cont!$F:$F,"C",Cont!$A:$A,O45)</f>
        <v>0</v>
      </c>
      <c r="Q45" s="113">
        <f t="shared" si="3"/>
        <v>340.71999999999997</v>
      </c>
      <c r="S45" s="114">
        <v>43019</v>
      </c>
      <c r="T45" s="113">
        <f>SUMIFS(Cont!$B:$B,Cont!$F:$F,"C",Cont!$A:$A,S45)</f>
        <v>0</v>
      </c>
      <c r="U45" s="113">
        <f t="shared" si="4"/>
        <v>171.20999999999995</v>
      </c>
      <c r="W45" s="114">
        <v>43080</v>
      </c>
      <c r="X45" s="113">
        <f>SUMIFS(Cont!$B:$B,Cont!$F:$F,"C",Cont!$A:$A,W45)</f>
        <v>0</v>
      </c>
      <c r="Y45" s="113">
        <f t="shared" si="5"/>
        <v>135.00999999999993</v>
      </c>
    </row>
    <row r="46" spans="3:25" x14ac:dyDescent="0.25">
      <c r="C46" s="114">
        <v>42777</v>
      </c>
      <c r="D46" s="113">
        <f>SUMIFS(Cont!$B:$B,Cont!$F:$F,"C",Cont!$A:$A,C46)</f>
        <v>0</v>
      </c>
      <c r="E46" s="113">
        <f t="shared" si="0"/>
        <v>1309.6099999999999</v>
      </c>
      <c r="F46" s="35"/>
      <c r="G46" s="114">
        <v>42836</v>
      </c>
      <c r="H46" s="113">
        <f>SUMIFS(Cont!$B:$B,Cont!$F:$F,"C",Cont!$A:$A,G46)</f>
        <v>0</v>
      </c>
      <c r="I46" s="113">
        <f t="shared" si="1"/>
        <v>264.02</v>
      </c>
      <c r="K46" s="114">
        <v>42897</v>
      </c>
      <c r="L46" s="113">
        <f>SUMIFS(Cont!$B:$B,Cont!$F:$F,"C",Cont!$A:$A,K46)</f>
        <v>0</v>
      </c>
      <c r="M46" s="113">
        <f t="shared" si="2"/>
        <v>562.52</v>
      </c>
      <c r="O46" s="114">
        <v>42958</v>
      </c>
      <c r="P46" s="113">
        <f>SUMIFS(Cont!$B:$B,Cont!$F:$F,"C",Cont!$A:$A,O46)</f>
        <v>0</v>
      </c>
      <c r="Q46" s="113">
        <f t="shared" si="3"/>
        <v>340.71999999999997</v>
      </c>
      <c r="S46" s="114">
        <v>43020</v>
      </c>
      <c r="T46" s="113">
        <f>SUMIFS(Cont!$B:$B,Cont!$F:$F,"C",Cont!$A:$A,S46)</f>
        <v>5</v>
      </c>
      <c r="U46" s="113">
        <f t="shared" si="4"/>
        <v>176.20999999999995</v>
      </c>
      <c r="W46" s="114">
        <v>43081</v>
      </c>
      <c r="X46" s="113">
        <f>SUMIFS(Cont!$B:$B,Cont!$F:$F,"C",Cont!$A:$A,W46)</f>
        <v>75</v>
      </c>
      <c r="Y46" s="113">
        <f t="shared" si="5"/>
        <v>210.00999999999993</v>
      </c>
    </row>
    <row r="47" spans="3:25" x14ac:dyDescent="0.25">
      <c r="C47" s="114">
        <v>42778</v>
      </c>
      <c r="D47" s="113">
        <f>SUMIFS(Cont!$B:$B,Cont!$F:$F,"C",Cont!$A:$A,C47)</f>
        <v>0</v>
      </c>
      <c r="E47" s="113">
        <f t="shared" si="0"/>
        <v>1309.6099999999999</v>
      </c>
      <c r="F47" s="35"/>
      <c r="G47" s="114">
        <v>42837</v>
      </c>
      <c r="H47" s="113">
        <f>SUMIFS(Cont!$B:$B,Cont!$F:$F,"C",Cont!$A:$A,G47)</f>
        <v>0</v>
      </c>
      <c r="I47" s="113">
        <f t="shared" si="1"/>
        <v>264.02</v>
      </c>
      <c r="K47" s="114">
        <v>42898</v>
      </c>
      <c r="L47" s="113">
        <f>SUMIFS(Cont!$B:$B,Cont!$F:$F,"C",Cont!$A:$A,K47)</f>
        <v>0</v>
      </c>
      <c r="M47" s="113">
        <f t="shared" si="2"/>
        <v>562.52</v>
      </c>
      <c r="O47" s="114">
        <v>42959</v>
      </c>
      <c r="P47" s="113">
        <f>SUMIFS(Cont!$B:$B,Cont!$F:$F,"C",Cont!$A:$A,O47)</f>
        <v>0</v>
      </c>
      <c r="Q47" s="113">
        <f t="shared" si="3"/>
        <v>340.71999999999997</v>
      </c>
      <c r="S47" s="114">
        <v>43021</v>
      </c>
      <c r="T47" s="113">
        <f>SUMIFS(Cont!$B:$B,Cont!$F:$F,"C",Cont!$A:$A,S47)</f>
        <v>0</v>
      </c>
      <c r="U47" s="113">
        <f t="shared" si="4"/>
        <v>176.20999999999995</v>
      </c>
      <c r="W47" s="114">
        <v>43082</v>
      </c>
      <c r="X47" s="113">
        <f>SUMIFS(Cont!$B:$B,Cont!$F:$F,"C",Cont!$A:$A,W47)</f>
        <v>0</v>
      </c>
      <c r="Y47" s="113">
        <f t="shared" si="5"/>
        <v>210.00999999999993</v>
      </c>
    </row>
    <row r="48" spans="3:25" x14ac:dyDescent="0.25">
      <c r="C48" s="114">
        <v>42779</v>
      </c>
      <c r="D48" s="113">
        <f>SUMIFS(Cont!$B:$B,Cont!$F:$F,"C",Cont!$A:$A,C48)</f>
        <v>0</v>
      </c>
      <c r="E48" s="113">
        <f t="shared" si="0"/>
        <v>1309.6099999999999</v>
      </c>
      <c r="F48" s="35"/>
      <c r="G48" s="114">
        <v>42838</v>
      </c>
      <c r="H48" s="113">
        <f>SUMIFS(Cont!$B:$B,Cont!$F:$F,"C",Cont!$A:$A,G48)</f>
        <v>34</v>
      </c>
      <c r="I48" s="113">
        <f t="shared" si="1"/>
        <v>298.02</v>
      </c>
      <c r="K48" s="114">
        <v>42899</v>
      </c>
      <c r="L48" s="113">
        <f>SUMIFS(Cont!$B:$B,Cont!$F:$F,"C",Cont!$A:$A,K48)</f>
        <v>0</v>
      </c>
      <c r="M48" s="113">
        <f t="shared" si="2"/>
        <v>562.52</v>
      </c>
      <c r="O48" s="114">
        <v>42960</v>
      </c>
      <c r="P48" s="113">
        <f>SUMIFS(Cont!$B:$B,Cont!$F:$F,"C",Cont!$A:$A,O48)</f>
        <v>0</v>
      </c>
      <c r="Q48" s="113">
        <f t="shared" si="3"/>
        <v>340.71999999999997</v>
      </c>
      <c r="S48" s="114">
        <v>43022</v>
      </c>
      <c r="T48" s="113">
        <f>SUMIFS(Cont!$B:$B,Cont!$F:$F,"C",Cont!$A:$A,S48)</f>
        <v>0</v>
      </c>
      <c r="U48" s="113">
        <f t="shared" si="4"/>
        <v>176.20999999999995</v>
      </c>
      <c r="W48" s="114">
        <v>43083</v>
      </c>
      <c r="X48" s="113">
        <f>SUMIFS(Cont!$B:$B,Cont!$F:$F,"C",Cont!$A:$A,W48)</f>
        <v>0</v>
      </c>
      <c r="Y48" s="113">
        <f t="shared" si="5"/>
        <v>210.00999999999993</v>
      </c>
    </row>
    <row r="49" spans="3:25" x14ac:dyDescent="0.25">
      <c r="C49" s="114">
        <v>42780</v>
      </c>
      <c r="D49" s="113">
        <f>SUMIFS(Cont!$B:$B,Cont!$F:$F,"C",Cont!$A:$A,C49)</f>
        <v>0</v>
      </c>
      <c r="E49" s="113">
        <f t="shared" si="0"/>
        <v>1309.6099999999999</v>
      </c>
      <c r="F49" s="35"/>
      <c r="G49" s="114">
        <v>42839</v>
      </c>
      <c r="H49" s="113">
        <f>SUMIFS(Cont!$B:$B,Cont!$F:$F,"C",Cont!$A:$A,G49)</f>
        <v>0</v>
      </c>
      <c r="I49" s="113">
        <f t="shared" si="1"/>
        <v>298.02</v>
      </c>
      <c r="K49" s="114">
        <v>42900</v>
      </c>
      <c r="L49" s="113">
        <f>SUMIFS(Cont!$B:$B,Cont!$F:$F,"C",Cont!$A:$A,K49)</f>
        <v>0</v>
      </c>
      <c r="M49" s="113">
        <f t="shared" si="2"/>
        <v>562.52</v>
      </c>
      <c r="O49" s="114">
        <v>42961</v>
      </c>
      <c r="P49" s="113">
        <f>SUMIFS(Cont!$B:$B,Cont!$F:$F,"C",Cont!$A:$A,O49)</f>
        <v>0</v>
      </c>
      <c r="Q49" s="113">
        <f t="shared" si="3"/>
        <v>340.71999999999997</v>
      </c>
      <c r="S49" s="114">
        <v>43023</v>
      </c>
      <c r="T49" s="113">
        <f>SUMIFS(Cont!$B:$B,Cont!$F:$F,"C",Cont!$A:$A,S49)</f>
        <v>0</v>
      </c>
      <c r="U49" s="113">
        <f t="shared" si="4"/>
        <v>176.20999999999995</v>
      </c>
      <c r="W49" s="114">
        <v>43084</v>
      </c>
      <c r="X49" s="113">
        <f>SUMIFS(Cont!$B:$B,Cont!$F:$F,"C",Cont!$A:$A,W49)</f>
        <v>0</v>
      </c>
      <c r="Y49" s="113">
        <f t="shared" si="5"/>
        <v>210.00999999999993</v>
      </c>
    </row>
    <row r="50" spans="3:25" x14ac:dyDescent="0.25">
      <c r="C50" s="114">
        <v>42781</v>
      </c>
      <c r="D50" s="113">
        <f>SUMIFS(Cont!$B:$B,Cont!$F:$F,"C",Cont!$A:$A,C50)</f>
        <v>0</v>
      </c>
      <c r="E50" s="113">
        <f t="shared" si="0"/>
        <v>1309.6099999999999</v>
      </c>
      <c r="F50" s="35"/>
      <c r="G50" s="114">
        <v>42840</v>
      </c>
      <c r="H50" s="113">
        <f>SUMIFS(Cont!$B:$B,Cont!$F:$F,"C",Cont!$A:$A,G50)</f>
        <v>0</v>
      </c>
      <c r="I50" s="113">
        <f t="shared" si="1"/>
        <v>298.02</v>
      </c>
      <c r="K50" s="114">
        <v>42901</v>
      </c>
      <c r="L50" s="113">
        <f>SUMIFS(Cont!$B:$B,Cont!$F:$F,"C",Cont!$A:$A,K50)</f>
        <v>0</v>
      </c>
      <c r="M50" s="113">
        <f t="shared" si="2"/>
        <v>562.52</v>
      </c>
      <c r="O50" s="114">
        <v>42962</v>
      </c>
      <c r="P50" s="113">
        <f>SUMIFS(Cont!$B:$B,Cont!$F:$F,"C",Cont!$A:$A,O50)</f>
        <v>0</v>
      </c>
      <c r="Q50" s="113">
        <f t="shared" si="3"/>
        <v>340.71999999999997</v>
      </c>
      <c r="S50" s="114">
        <v>43024</v>
      </c>
      <c r="T50" s="113">
        <f>SUMIFS(Cont!$B:$B,Cont!$F:$F,"C",Cont!$A:$A,S50)</f>
        <v>0</v>
      </c>
      <c r="U50" s="113">
        <f t="shared" si="4"/>
        <v>176.20999999999995</v>
      </c>
      <c r="W50" s="114">
        <v>43085</v>
      </c>
      <c r="X50" s="113">
        <f>SUMIFS(Cont!$B:$B,Cont!$F:$F,"C",Cont!$A:$A,W50)</f>
        <v>0</v>
      </c>
      <c r="Y50" s="113">
        <f t="shared" si="5"/>
        <v>210.00999999999993</v>
      </c>
    </row>
    <row r="51" spans="3:25" x14ac:dyDescent="0.25">
      <c r="C51" s="114">
        <v>42782</v>
      </c>
      <c r="D51" s="113">
        <f>SUMIFS(Cont!$B:$B,Cont!$F:$F,"C",Cont!$A:$A,C51)</f>
        <v>0</v>
      </c>
      <c r="E51" s="113">
        <f t="shared" si="0"/>
        <v>1309.6099999999999</v>
      </c>
      <c r="F51" s="35"/>
      <c r="G51" s="114">
        <v>42841</v>
      </c>
      <c r="H51" s="113">
        <f>SUMIFS(Cont!$B:$B,Cont!$F:$F,"C",Cont!$A:$A,G51)</f>
        <v>0</v>
      </c>
      <c r="I51" s="113">
        <f t="shared" si="1"/>
        <v>298.02</v>
      </c>
      <c r="K51" s="114">
        <v>42902</v>
      </c>
      <c r="L51" s="113">
        <f>SUMIFS(Cont!$B:$B,Cont!$F:$F,"C",Cont!$A:$A,K51)</f>
        <v>0</v>
      </c>
      <c r="M51" s="113">
        <f t="shared" si="2"/>
        <v>562.52</v>
      </c>
      <c r="O51" s="114">
        <v>42963</v>
      </c>
      <c r="P51" s="113">
        <f>SUMIFS(Cont!$B:$B,Cont!$F:$F,"C",Cont!$A:$A,O51)</f>
        <v>0</v>
      </c>
      <c r="Q51" s="113">
        <f t="shared" si="3"/>
        <v>340.71999999999997</v>
      </c>
      <c r="S51" s="114">
        <v>43025</v>
      </c>
      <c r="T51" s="113">
        <f>SUMIFS(Cont!$B:$B,Cont!$F:$F,"C",Cont!$A:$A,S51)</f>
        <v>-108.2</v>
      </c>
      <c r="U51" s="113">
        <f t="shared" si="4"/>
        <v>68.009999999999948</v>
      </c>
      <c r="W51" s="114">
        <v>43086</v>
      </c>
      <c r="X51" s="113">
        <f>SUMIFS(Cont!$B:$B,Cont!$F:$F,"C",Cont!$A:$A,W51)</f>
        <v>0</v>
      </c>
      <c r="Y51" s="113">
        <f t="shared" si="5"/>
        <v>210.00999999999993</v>
      </c>
    </row>
    <row r="52" spans="3:25" x14ac:dyDescent="0.25">
      <c r="C52" s="114">
        <v>42783</v>
      </c>
      <c r="D52" s="113">
        <f>SUMIFS(Cont!$B:$B,Cont!$F:$F,"C",Cont!$A:$A,C52)</f>
        <v>0</v>
      </c>
      <c r="E52" s="113">
        <f t="shared" si="0"/>
        <v>1309.6099999999999</v>
      </c>
      <c r="F52" s="35"/>
      <c r="G52" s="114">
        <v>42842</v>
      </c>
      <c r="H52" s="113">
        <f>SUMIFS(Cont!$B:$B,Cont!$F:$F,"C",Cont!$A:$A,G52)</f>
        <v>0</v>
      </c>
      <c r="I52" s="113">
        <f t="shared" si="1"/>
        <v>298.02</v>
      </c>
      <c r="K52" s="114">
        <v>42903</v>
      </c>
      <c r="L52" s="113">
        <f>SUMIFS(Cont!$B:$B,Cont!$F:$F,"C",Cont!$A:$A,K52)</f>
        <v>-205.60000000000002</v>
      </c>
      <c r="M52" s="113">
        <f t="shared" si="2"/>
        <v>356.91999999999996</v>
      </c>
      <c r="O52" s="114">
        <v>42964</v>
      </c>
      <c r="P52" s="113">
        <f>SUMIFS(Cont!$B:$B,Cont!$F:$F,"C",Cont!$A:$A,O52)</f>
        <v>0</v>
      </c>
      <c r="Q52" s="113">
        <f t="shared" si="3"/>
        <v>340.71999999999997</v>
      </c>
      <c r="S52" s="114">
        <v>43026</v>
      </c>
      <c r="T52" s="113">
        <f>SUMIFS(Cont!$B:$B,Cont!$F:$F,"C",Cont!$A:$A,S52)</f>
        <v>0</v>
      </c>
      <c r="U52" s="113">
        <f t="shared" si="4"/>
        <v>68.009999999999948</v>
      </c>
      <c r="W52" s="114">
        <v>43087</v>
      </c>
      <c r="X52" s="113">
        <f>SUMIFS(Cont!$B:$B,Cont!$F:$F,"C",Cont!$A:$A,W52)</f>
        <v>0</v>
      </c>
      <c r="Y52" s="113">
        <f t="shared" si="5"/>
        <v>210.00999999999993</v>
      </c>
    </row>
    <row r="53" spans="3:25" x14ac:dyDescent="0.25">
      <c r="C53" s="114">
        <v>42784</v>
      </c>
      <c r="D53" s="113">
        <f>SUMIFS(Cont!$B:$B,Cont!$F:$F,"C",Cont!$A:$A,C53)</f>
        <v>0</v>
      </c>
      <c r="E53" s="113">
        <f t="shared" si="0"/>
        <v>1309.6099999999999</v>
      </c>
      <c r="F53" s="35"/>
      <c r="G53" s="114">
        <v>42843</v>
      </c>
      <c r="H53" s="113">
        <f>SUMIFS(Cont!$B:$B,Cont!$F:$F,"C",Cont!$A:$A,G53)</f>
        <v>0</v>
      </c>
      <c r="I53" s="113">
        <f t="shared" si="1"/>
        <v>298.02</v>
      </c>
      <c r="K53" s="114">
        <v>42904</v>
      </c>
      <c r="L53" s="113">
        <f>SUMIFS(Cont!$B:$B,Cont!$F:$F,"C",Cont!$A:$A,K53)</f>
        <v>0</v>
      </c>
      <c r="M53" s="113">
        <f t="shared" si="2"/>
        <v>356.91999999999996</v>
      </c>
      <c r="O53" s="114">
        <v>42965</v>
      </c>
      <c r="P53" s="113">
        <f>SUMIFS(Cont!$B:$B,Cont!$F:$F,"C",Cont!$A:$A,O53)</f>
        <v>0</v>
      </c>
      <c r="Q53" s="113">
        <f t="shared" si="3"/>
        <v>340.71999999999997</v>
      </c>
      <c r="S53" s="114">
        <v>43027</v>
      </c>
      <c r="T53" s="113">
        <f>SUMIFS(Cont!$B:$B,Cont!$F:$F,"C",Cont!$A:$A,S53)</f>
        <v>0</v>
      </c>
      <c r="U53" s="113">
        <f t="shared" si="4"/>
        <v>68.009999999999948</v>
      </c>
      <c r="W53" s="114">
        <v>43088</v>
      </c>
      <c r="X53" s="113">
        <f>SUMIFS(Cont!$B:$B,Cont!$F:$F,"C",Cont!$A:$A,W53)</f>
        <v>0</v>
      </c>
      <c r="Y53" s="113">
        <f t="shared" si="5"/>
        <v>210.00999999999993</v>
      </c>
    </row>
    <row r="54" spans="3:25" x14ac:dyDescent="0.25">
      <c r="C54" s="114">
        <v>42785</v>
      </c>
      <c r="D54" s="113">
        <f>SUMIFS(Cont!$B:$B,Cont!$F:$F,"C",Cont!$A:$A,C54)</f>
        <v>0</v>
      </c>
      <c r="E54" s="113">
        <f t="shared" si="0"/>
        <v>1309.6099999999999</v>
      </c>
      <c r="F54" s="35"/>
      <c r="G54" s="114">
        <v>42844</v>
      </c>
      <c r="H54" s="113">
        <f>SUMIFS(Cont!$B:$B,Cont!$F:$F,"C",Cont!$A:$A,G54)</f>
        <v>200</v>
      </c>
      <c r="I54" s="113">
        <f t="shared" si="1"/>
        <v>498.02</v>
      </c>
      <c r="K54" s="114">
        <v>42905</v>
      </c>
      <c r="L54" s="113">
        <f>SUMIFS(Cont!$B:$B,Cont!$F:$F,"C",Cont!$A:$A,K54)</f>
        <v>0</v>
      </c>
      <c r="M54" s="113">
        <f t="shared" si="2"/>
        <v>356.91999999999996</v>
      </c>
      <c r="O54" s="114">
        <v>42966</v>
      </c>
      <c r="P54" s="113">
        <f>SUMIFS(Cont!$B:$B,Cont!$F:$F,"C",Cont!$A:$A,O54)</f>
        <v>0</v>
      </c>
      <c r="Q54" s="113">
        <f t="shared" si="3"/>
        <v>340.71999999999997</v>
      </c>
      <c r="S54" s="114">
        <v>43028</v>
      </c>
      <c r="T54" s="113">
        <f>SUMIFS(Cont!$B:$B,Cont!$F:$F,"C",Cont!$A:$A,S54)</f>
        <v>0</v>
      </c>
      <c r="U54" s="113">
        <f t="shared" si="4"/>
        <v>68.009999999999948</v>
      </c>
      <c r="W54" s="114">
        <v>43089</v>
      </c>
      <c r="X54" s="113">
        <f>SUMIFS(Cont!$B:$B,Cont!$F:$F,"C",Cont!$A:$A,W54)</f>
        <v>104</v>
      </c>
      <c r="Y54" s="113">
        <f t="shared" si="5"/>
        <v>314.00999999999993</v>
      </c>
    </row>
    <row r="55" spans="3:25" x14ac:dyDescent="0.25">
      <c r="C55" s="114">
        <v>42786</v>
      </c>
      <c r="D55" s="113">
        <f>SUMIFS(Cont!$B:$B,Cont!$F:$F,"C",Cont!$A:$A,C55)</f>
        <v>0</v>
      </c>
      <c r="E55" s="113">
        <f t="shared" si="0"/>
        <v>1309.6099999999999</v>
      </c>
      <c r="F55" s="35"/>
      <c r="G55" s="114">
        <v>42845</v>
      </c>
      <c r="H55" s="113">
        <f>SUMIFS(Cont!$B:$B,Cont!$F:$F,"C",Cont!$A:$A,G55)</f>
        <v>0</v>
      </c>
      <c r="I55" s="113">
        <f t="shared" si="1"/>
        <v>498.02</v>
      </c>
      <c r="K55" s="114">
        <v>42906</v>
      </c>
      <c r="L55" s="113">
        <f>SUMIFS(Cont!$B:$B,Cont!$F:$F,"C",Cont!$A:$A,K55)</f>
        <v>0</v>
      </c>
      <c r="M55" s="113">
        <f t="shared" si="2"/>
        <v>356.91999999999996</v>
      </c>
      <c r="O55" s="114">
        <v>42967</v>
      </c>
      <c r="P55" s="113">
        <f>SUMIFS(Cont!$B:$B,Cont!$F:$F,"C",Cont!$A:$A,O55)</f>
        <v>0</v>
      </c>
      <c r="Q55" s="113">
        <f t="shared" si="3"/>
        <v>340.71999999999997</v>
      </c>
      <c r="S55" s="114">
        <v>43029</v>
      </c>
      <c r="T55" s="113">
        <f>SUMIFS(Cont!$B:$B,Cont!$F:$F,"C",Cont!$A:$A,S55)</f>
        <v>0</v>
      </c>
      <c r="U55" s="113">
        <f t="shared" si="4"/>
        <v>68.009999999999948</v>
      </c>
      <c r="W55" s="114">
        <v>43090</v>
      </c>
      <c r="X55" s="113">
        <f>SUMIFS(Cont!$B:$B,Cont!$F:$F,"C",Cont!$A:$A,W55)</f>
        <v>0</v>
      </c>
      <c r="Y55" s="113">
        <f t="shared" si="5"/>
        <v>314.00999999999993</v>
      </c>
    </row>
    <row r="56" spans="3:25" x14ac:dyDescent="0.25">
      <c r="C56" s="114">
        <v>42787</v>
      </c>
      <c r="D56" s="113">
        <f>SUMIFS(Cont!$B:$B,Cont!$F:$F,"C",Cont!$A:$A,C56)</f>
        <v>0</v>
      </c>
      <c r="E56" s="113">
        <f t="shared" si="0"/>
        <v>1309.6099999999999</v>
      </c>
      <c r="F56" s="35"/>
      <c r="G56" s="114">
        <v>42846</v>
      </c>
      <c r="H56" s="113">
        <f>SUMIFS(Cont!$B:$B,Cont!$F:$F,"C",Cont!$A:$A,G56)</f>
        <v>0</v>
      </c>
      <c r="I56" s="113">
        <f t="shared" si="1"/>
        <v>498.02</v>
      </c>
      <c r="K56" s="114">
        <v>42907</v>
      </c>
      <c r="L56" s="113">
        <f>SUMIFS(Cont!$B:$B,Cont!$F:$F,"C",Cont!$A:$A,K56)</f>
        <v>0</v>
      </c>
      <c r="M56" s="113">
        <f t="shared" si="2"/>
        <v>356.91999999999996</v>
      </c>
      <c r="O56" s="114">
        <v>42968</v>
      </c>
      <c r="P56" s="113">
        <f>SUMIFS(Cont!$B:$B,Cont!$F:$F,"C",Cont!$A:$A,O56)</f>
        <v>0</v>
      </c>
      <c r="Q56" s="113">
        <f t="shared" si="3"/>
        <v>340.71999999999997</v>
      </c>
      <c r="S56" s="114">
        <v>43030</v>
      </c>
      <c r="T56" s="113">
        <f>SUMIFS(Cont!$B:$B,Cont!$F:$F,"C",Cont!$A:$A,S56)</f>
        <v>0</v>
      </c>
      <c r="U56" s="113">
        <f t="shared" si="4"/>
        <v>68.009999999999948</v>
      </c>
      <c r="W56" s="114">
        <v>43091</v>
      </c>
      <c r="X56" s="113">
        <f>SUMIFS(Cont!$B:$B,Cont!$F:$F,"C",Cont!$A:$A,W56)</f>
        <v>0</v>
      </c>
      <c r="Y56" s="113">
        <f t="shared" si="5"/>
        <v>314.00999999999993</v>
      </c>
    </row>
    <row r="57" spans="3:25" x14ac:dyDescent="0.25">
      <c r="C57" s="114">
        <v>42788</v>
      </c>
      <c r="D57" s="113">
        <f>SUMIFS(Cont!$B:$B,Cont!$F:$F,"C",Cont!$A:$A,C57)</f>
        <v>0</v>
      </c>
      <c r="E57" s="113">
        <f t="shared" si="0"/>
        <v>1309.6099999999999</v>
      </c>
      <c r="F57" s="35"/>
      <c r="G57" s="114">
        <v>42847</v>
      </c>
      <c r="H57" s="113">
        <f>SUMIFS(Cont!$B:$B,Cont!$F:$F,"C",Cont!$A:$A,G57)</f>
        <v>64.5</v>
      </c>
      <c r="I57" s="113">
        <f t="shared" si="1"/>
        <v>562.52</v>
      </c>
      <c r="K57" s="114">
        <v>42908</v>
      </c>
      <c r="L57" s="113">
        <f>SUMIFS(Cont!$B:$B,Cont!$F:$F,"C",Cont!$A:$A,K57)</f>
        <v>0</v>
      </c>
      <c r="M57" s="113">
        <f t="shared" si="2"/>
        <v>356.91999999999996</v>
      </c>
      <c r="O57" s="114">
        <v>42969</v>
      </c>
      <c r="P57" s="113">
        <f>SUMIFS(Cont!$B:$B,Cont!$F:$F,"C",Cont!$A:$A,O57)</f>
        <v>0</v>
      </c>
      <c r="Q57" s="113">
        <f t="shared" si="3"/>
        <v>340.71999999999997</v>
      </c>
      <c r="S57" s="114">
        <v>43031</v>
      </c>
      <c r="T57" s="113">
        <f>SUMIFS(Cont!$B:$B,Cont!$F:$F,"C",Cont!$A:$A,S57)</f>
        <v>0</v>
      </c>
      <c r="U57" s="113">
        <f t="shared" si="4"/>
        <v>68.009999999999948</v>
      </c>
      <c r="W57" s="114">
        <v>43092</v>
      </c>
      <c r="X57" s="113">
        <f>SUMIFS(Cont!$B:$B,Cont!$F:$F,"C",Cont!$A:$A,W57)</f>
        <v>0</v>
      </c>
      <c r="Y57" s="113">
        <f t="shared" si="5"/>
        <v>314.00999999999993</v>
      </c>
    </row>
    <row r="58" spans="3:25" x14ac:dyDescent="0.25">
      <c r="C58" s="114">
        <v>42789</v>
      </c>
      <c r="D58" s="113">
        <f>SUMIFS(Cont!$B:$B,Cont!$F:$F,"C",Cont!$A:$A,C58)</f>
        <v>0</v>
      </c>
      <c r="E58" s="113">
        <f t="shared" si="0"/>
        <v>1309.6099999999999</v>
      </c>
      <c r="F58" s="35"/>
      <c r="G58" s="114">
        <v>42848</v>
      </c>
      <c r="H58" s="113">
        <f>SUMIFS(Cont!$B:$B,Cont!$F:$F,"C",Cont!$A:$A,G58)</f>
        <v>0</v>
      </c>
      <c r="I58" s="113">
        <f t="shared" si="1"/>
        <v>562.52</v>
      </c>
      <c r="K58" s="114">
        <v>42909</v>
      </c>
      <c r="L58" s="113">
        <f>SUMIFS(Cont!$B:$B,Cont!$F:$F,"C",Cont!$A:$A,K58)</f>
        <v>0</v>
      </c>
      <c r="M58" s="113">
        <f t="shared" si="2"/>
        <v>356.91999999999996</v>
      </c>
      <c r="O58" s="114">
        <v>42970</v>
      </c>
      <c r="P58" s="113">
        <f>SUMIFS(Cont!$B:$B,Cont!$F:$F,"C",Cont!$A:$A,O58)</f>
        <v>0</v>
      </c>
      <c r="Q58" s="113">
        <f t="shared" si="3"/>
        <v>340.71999999999997</v>
      </c>
      <c r="S58" s="114">
        <v>43032</v>
      </c>
      <c r="T58" s="113">
        <f>SUMIFS(Cont!$B:$B,Cont!$F:$F,"C",Cont!$A:$A,S58)</f>
        <v>0</v>
      </c>
      <c r="U58" s="113">
        <f t="shared" si="4"/>
        <v>68.009999999999948</v>
      </c>
      <c r="W58" s="114">
        <v>43093</v>
      </c>
      <c r="X58" s="113">
        <f>SUMIFS(Cont!$B:$B,Cont!$F:$F,"C",Cont!$A:$A,W58)</f>
        <v>0</v>
      </c>
      <c r="Y58" s="113">
        <f t="shared" si="5"/>
        <v>314.00999999999993</v>
      </c>
    </row>
    <row r="59" spans="3:25" x14ac:dyDescent="0.25">
      <c r="C59" s="114">
        <v>42790</v>
      </c>
      <c r="D59" s="113">
        <f>SUMIFS(Cont!$B:$B,Cont!$F:$F,"C",Cont!$A:$A,C59)</f>
        <v>0</v>
      </c>
      <c r="E59" s="113">
        <f t="shared" si="0"/>
        <v>1309.6099999999999</v>
      </c>
      <c r="F59" s="35"/>
      <c r="G59" s="114">
        <v>42849</v>
      </c>
      <c r="H59" s="113">
        <f>SUMIFS(Cont!$B:$B,Cont!$F:$F,"C",Cont!$A:$A,G59)</f>
        <v>0</v>
      </c>
      <c r="I59" s="113">
        <f t="shared" si="1"/>
        <v>562.52</v>
      </c>
      <c r="K59" s="114">
        <v>42910</v>
      </c>
      <c r="L59" s="113">
        <f>SUMIFS(Cont!$B:$B,Cont!$F:$F,"C",Cont!$A:$A,K59)</f>
        <v>0</v>
      </c>
      <c r="M59" s="113">
        <f t="shared" si="2"/>
        <v>356.91999999999996</v>
      </c>
      <c r="O59" s="114">
        <v>42971</v>
      </c>
      <c r="P59" s="113">
        <f>SUMIFS(Cont!$B:$B,Cont!$F:$F,"C",Cont!$A:$A,O59)</f>
        <v>0</v>
      </c>
      <c r="Q59" s="113">
        <f t="shared" si="3"/>
        <v>340.71999999999997</v>
      </c>
      <c r="S59" s="114">
        <v>43033</v>
      </c>
      <c r="T59" s="113">
        <f>SUMIFS(Cont!$B:$B,Cont!$F:$F,"C",Cont!$A:$A,S59)</f>
        <v>0</v>
      </c>
      <c r="U59" s="113">
        <f t="shared" si="4"/>
        <v>68.009999999999948</v>
      </c>
      <c r="W59" s="114">
        <v>43094</v>
      </c>
      <c r="X59" s="113">
        <f>SUMIFS(Cont!$B:$B,Cont!$F:$F,"C",Cont!$A:$A,W59)</f>
        <v>0</v>
      </c>
      <c r="Y59" s="113">
        <f t="shared" si="5"/>
        <v>314.00999999999993</v>
      </c>
    </row>
    <row r="60" spans="3:25" x14ac:dyDescent="0.25">
      <c r="C60" s="114">
        <v>42791</v>
      </c>
      <c r="D60" s="113">
        <f>SUMIFS(Cont!$B:$B,Cont!$F:$F,"C",Cont!$A:$A,C60)</f>
        <v>0</v>
      </c>
      <c r="E60" s="113">
        <f t="shared" si="0"/>
        <v>1309.6099999999999</v>
      </c>
      <c r="F60" s="35"/>
      <c r="G60" s="114">
        <v>42850</v>
      </c>
      <c r="H60" s="113">
        <f>SUMIFS(Cont!$B:$B,Cont!$F:$F,"C",Cont!$A:$A,G60)</f>
        <v>0</v>
      </c>
      <c r="I60" s="113">
        <f t="shared" si="1"/>
        <v>562.52</v>
      </c>
      <c r="K60" s="114">
        <v>42911</v>
      </c>
      <c r="L60" s="113">
        <f>SUMIFS(Cont!$B:$B,Cont!$F:$F,"C",Cont!$A:$A,K60)</f>
        <v>0</v>
      </c>
      <c r="M60" s="113">
        <f t="shared" si="2"/>
        <v>356.91999999999996</v>
      </c>
      <c r="O60" s="114">
        <v>42972</v>
      </c>
      <c r="P60" s="113">
        <f>SUMIFS(Cont!$B:$B,Cont!$F:$F,"C",Cont!$A:$A,O60)</f>
        <v>0</v>
      </c>
      <c r="Q60" s="113">
        <f t="shared" si="3"/>
        <v>340.71999999999997</v>
      </c>
      <c r="S60" s="114">
        <v>43034</v>
      </c>
      <c r="T60" s="113">
        <f>SUMIFS(Cont!$B:$B,Cont!$F:$F,"C",Cont!$A:$A,S60)</f>
        <v>0</v>
      </c>
      <c r="U60" s="113">
        <f t="shared" si="4"/>
        <v>68.009999999999948</v>
      </c>
      <c r="W60" s="114">
        <v>43095</v>
      </c>
      <c r="X60" s="113">
        <f>SUMIFS(Cont!$B:$B,Cont!$F:$F,"C",Cont!$A:$A,W60)</f>
        <v>0</v>
      </c>
      <c r="Y60" s="113">
        <f t="shared" si="5"/>
        <v>314.00999999999993</v>
      </c>
    </row>
    <row r="61" spans="3:25" x14ac:dyDescent="0.25">
      <c r="C61" s="114">
        <v>42792</v>
      </c>
      <c r="D61" s="113">
        <f>SUMIFS(Cont!$B:$B,Cont!$F:$F,"C",Cont!$A:$A,C61)</f>
        <v>0</v>
      </c>
      <c r="E61" s="113">
        <f t="shared" si="0"/>
        <v>1309.6099999999999</v>
      </c>
      <c r="F61" s="35"/>
      <c r="G61" s="114">
        <v>42851</v>
      </c>
      <c r="H61" s="113">
        <f>SUMIFS(Cont!$B:$B,Cont!$F:$F,"C",Cont!$A:$A,G61)</f>
        <v>0</v>
      </c>
      <c r="I61" s="113">
        <f t="shared" si="1"/>
        <v>562.52</v>
      </c>
      <c r="K61" s="114">
        <v>42912</v>
      </c>
      <c r="L61" s="113">
        <f>SUMIFS(Cont!$B:$B,Cont!$F:$F,"C",Cont!$A:$A,K61)</f>
        <v>0</v>
      </c>
      <c r="M61" s="113">
        <f t="shared" si="2"/>
        <v>356.91999999999996</v>
      </c>
      <c r="O61" s="114">
        <v>42973</v>
      </c>
      <c r="P61" s="113">
        <f>SUMIFS(Cont!$B:$B,Cont!$F:$F,"C",Cont!$A:$A,O61)</f>
        <v>0</v>
      </c>
      <c r="Q61" s="113">
        <f t="shared" si="3"/>
        <v>340.71999999999997</v>
      </c>
      <c r="S61" s="114">
        <v>43035</v>
      </c>
      <c r="T61" s="113">
        <f>SUMIFS(Cont!$B:$B,Cont!$F:$F,"C",Cont!$A:$A,S61)</f>
        <v>0</v>
      </c>
      <c r="U61" s="113">
        <f t="shared" si="4"/>
        <v>68.009999999999948</v>
      </c>
      <c r="W61" s="114">
        <v>43096</v>
      </c>
      <c r="X61" s="113">
        <f>SUMIFS(Cont!$B:$B,Cont!$F:$F,"C",Cont!$A:$A,W61)</f>
        <v>0</v>
      </c>
      <c r="Y61" s="113">
        <f t="shared" si="5"/>
        <v>314.00999999999993</v>
      </c>
    </row>
    <row r="62" spans="3:25" x14ac:dyDescent="0.25">
      <c r="C62" s="114">
        <v>42793</v>
      </c>
      <c r="D62" s="113">
        <f>SUMIFS(Cont!$B:$B,Cont!$F:$F,"C",Cont!$A:$A,C62)</f>
        <v>0</v>
      </c>
      <c r="E62" s="113">
        <f t="shared" si="0"/>
        <v>1309.6099999999999</v>
      </c>
      <c r="F62" s="35"/>
      <c r="G62" s="114">
        <v>42852</v>
      </c>
      <c r="H62" s="113">
        <f>SUMIFS(Cont!$B:$B,Cont!$F:$F,"C",Cont!$A:$A,G62)</f>
        <v>0</v>
      </c>
      <c r="I62" s="113">
        <f t="shared" si="1"/>
        <v>562.52</v>
      </c>
      <c r="K62" s="114">
        <v>42913</v>
      </c>
      <c r="L62" s="113">
        <f>SUMIFS(Cont!$B:$B,Cont!$F:$F,"C",Cont!$A:$A,K62)</f>
        <v>0</v>
      </c>
      <c r="M62" s="113">
        <f t="shared" si="2"/>
        <v>356.91999999999996</v>
      </c>
      <c r="O62" s="114">
        <v>42974</v>
      </c>
      <c r="P62" s="113">
        <f>SUMIFS(Cont!$B:$B,Cont!$F:$F,"C",Cont!$A:$A,O62)</f>
        <v>0</v>
      </c>
      <c r="Q62" s="113">
        <f t="shared" si="3"/>
        <v>340.71999999999997</v>
      </c>
      <c r="S62" s="114">
        <v>43036</v>
      </c>
      <c r="T62" s="113">
        <f>SUMIFS(Cont!$B:$B,Cont!$F:$F,"C",Cont!$A:$A,S62)</f>
        <v>0</v>
      </c>
      <c r="U62" s="113">
        <f t="shared" si="4"/>
        <v>68.009999999999948</v>
      </c>
      <c r="W62" s="114">
        <v>43097</v>
      </c>
      <c r="X62" s="113">
        <f>SUMIFS(Cont!$B:$B,Cont!$F:$F,"C",Cont!$A:$A,W62)</f>
        <v>0</v>
      </c>
      <c r="Y62" s="113">
        <f t="shared" si="5"/>
        <v>314.00999999999993</v>
      </c>
    </row>
    <row r="63" spans="3:25" x14ac:dyDescent="0.25">
      <c r="C63" s="114">
        <v>42794</v>
      </c>
      <c r="D63" s="113">
        <f>SUMIFS(Cont!$B:$B,Cont!$F:$F,"C",Cont!$A:$A,C63)</f>
        <v>264</v>
      </c>
      <c r="E63" s="113">
        <f t="shared" si="0"/>
        <v>1573.61</v>
      </c>
      <c r="F63" s="35"/>
      <c r="G63" s="114">
        <v>42853</v>
      </c>
      <c r="H63" s="113">
        <f>SUMIFS(Cont!$B:$B,Cont!$F:$F,"C",Cont!$A:$A,G63)</f>
        <v>0</v>
      </c>
      <c r="I63" s="113">
        <f t="shared" si="1"/>
        <v>562.52</v>
      </c>
      <c r="K63" s="114">
        <v>42914</v>
      </c>
      <c r="L63" s="113">
        <f>SUMIFS(Cont!$B:$B,Cont!$F:$F,"C",Cont!$A:$A,K63)</f>
        <v>0</v>
      </c>
      <c r="M63" s="113">
        <f t="shared" si="2"/>
        <v>356.91999999999996</v>
      </c>
      <c r="O63" s="114">
        <v>42975</v>
      </c>
      <c r="P63" s="113">
        <f>SUMIFS(Cont!$B:$B,Cont!$F:$F,"C",Cont!$A:$A,O63)</f>
        <v>-35.68</v>
      </c>
      <c r="Q63" s="113">
        <f t="shared" si="3"/>
        <v>305.03999999999996</v>
      </c>
      <c r="S63" s="114">
        <v>43037</v>
      </c>
      <c r="T63" s="113">
        <f>SUMIFS(Cont!$B:$B,Cont!$F:$F,"C",Cont!$A:$A,S63)</f>
        <v>0</v>
      </c>
      <c r="U63" s="113">
        <f t="shared" si="4"/>
        <v>68.009999999999948</v>
      </c>
      <c r="W63" s="114">
        <v>43098</v>
      </c>
      <c r="X63" s="113">
        <f>SUMIFS(Cont!$B:$B,Cont!$F:$F,"C",Cont!$A:$A,W63)</f>
        <v>0</v>
      </c>
      <c r="Y63" s="113">
        <f t="shared" si="5"/>
        <v>314.00999999999993</v>
      </c>
    </row>
    <row r="64" spans="3:25" x14ac:dyDescent="0.25">
      <c r="C64" s="114"/>
      <c r="D64" s="113"/>
      <c r="E64" s="113">
        <f t="shared" si="0"/>
        <v>1573.61</v>
      </c>
      <c r="F64" s="35"/>
      <c r="G64" s="114">
        <v>42854</v>
      </c>
      <c r="H64" s="113">
        <f>SUMIFS(Cont!$B:$B,Cont!$F:$F,"C",Cont!$A:$A,G64)</f>
        <v>0</v>
      </c>
      <c r="I64" s="113">
        <f t="shared" si="1"/>
        <v>562.52</v>
      </c>
      <c r="K64" s="114">
        <v>42915</v>
      </c>
      <c r="L64" s="113">
        <f>SUMIFS(Cont!$B:$B,Cont!$F:$F,"C",Cont!$A:$A,K64)</f>
        <v>0</v>
      </c>
      <c r="M64" s="113">
        <f t="shared" si="2"/>
        <v>356.91999999999996</v>
      </c>
      <c r="O64" s="114">
        <v>42976</v>
      </c>
      <c r="P64" s="113">
        <f>SUMIFS(Cont!$B:$B,Cont!$F:$F,"C",Cont!$A:$A,O64)</f>
        <v>0</v>
      </c>
      <c r="Q64" s="113">
        <f t="shared" si="3"/>
        <v>305.03999999999996</v>
      </c>
      <c r="S64" s="114">
        <v>43038</v>
      </c>
      <c r="T64" s="113">
        <f>SUMIFS(Cont!$B:$B,Cont!$F:$F,"C",Cont!$A:$A,S64)</f>
        <v>0</v>
      </c>
      <c r="U64" s="113">
        <f t="shared" si="4"/>
        <v>68.009999999999948</v>
      </c>
      <c r="W64" s="114">
        <v>43099</v>
      </c>
      <c r="X64" s="113">
        <f>SUMIFS(Cont!$B:$B,Cont!$F:$F,"C",Cont!$A:$A,W64)</f>
        <v>0</v>
      </c>
      <c r="Y64" s="113">
        <f t="shared" si="5"/>
        <v>314.00999999999993</v>
      </c>
    </row>
    <row r="65" spans="3:25" x14ac:dyDescent="0.25">
      <c r="C65" s="115"/>
      <c r="D65" s="116"/>
      <c r="E65" s="116">
        <f t="shared" si="0"/>
        <v>1573.61</v>
      </c>
      <c r="F65" s="35"/>
      <c r="G65" s="117">
        <v>42855</v>
      </c>
      <c r="H65" s="116">
        <f>SUMIFS(Cont!$B:$B,Cont!$F:$F,"C",Cont!$A:$A,G65)</f>
        <v>0</v>
      </c>
      <c r="I65" s="116">
        <f t="shared" si="1"/>
        <v>562.52</v>
      </c>
      <c r="K65" s="117">
        <v>42916</v>
      </c>
      <c r="L65" s="116">
        <f>SUMIFS(Cont!$B:$B,Cont!$F:$F,"C",Cont!$A:$A,K65)</f>
        <v>0</v>
      </c>
      <c r="M65" s="116">
        <f t="shared" si="2"/>
        <v>356.91999999999996</v>
      </c>
      <c r="O65" s="114">
        <v>42977</v>
      </c>
      <c r="P65" s="113">
        <f>SUMIFS(Cont!$B:$B,Cont!$F:$F,"C",Cont!$A:$A,O65)</f>
        <v>0</v>
      </c>
      <c r="Q65" s="113">
        <f t="shared" si="3"/>
        <v>305.03999999999996</v>
      </c>
      <c r="S65" s="117">
        <v>43039</v>
      </c>
      <c r="T65" s="116">
        <f>SUMIFS(Cont!$B:$B,Cont!$F:$F,"C",Cont!$A:$A,S65)</f>
        <v>0</v>
      </c>
      <c r="U65" s="116">
        <f t="shared" si="4"/>
        <v>68.009999999999948</v>
      </c>
      <c r="W65" s="117">
        <v>43100</v>
      </c>
      <c r="X65" s="116">
        <f>SUMIFS(Cont!$B:$B,Cont!$F:$F,"C",Cont!$A:$A,W65)</f>
        <v>0</v>
      </c>
      <c r="Y65" s="116">
        <f t="shared" si="5"/>
        <v>314.00999999999993</v>
      </c>
    </row>
    <row r="66" spans="3:25" x14ac:dyDescent="0.25">
      <c r="O66" s="117">
        <v>42978</v>
      </c>
      <c r="P66" s="116">
        <f>SUMIFS(Cont!$B:$B,Cont!$F:$F,"C",Cont!$A:$A,O66)</f>
        <v>-72.34</v>
      </c>
      <c r="Q66" s="116">
        <f t="shared" ref="Q66" si="6">Q65+P66</f>
        <v>232.69999999999996</v>
      </c>
    </row>
  </sheetData>
  <conditionalFormatting sqref="Y5:Y65">
    <cfRule type="cellIs" dxfId="14" priority="8" operator="lessThan">
      <formula>0</formula>
    </cfRule>
  </conditionalFormatting>
  <conditionalFormatting sqref="G1">
    <cfRule type="cellIs" dxfId="13" priority="7" operator="notEqual">
      <formula>0</formula>
    </cfRule>
  </conditionalFormatting>
  <conditionalFormatting sqref="U5:U65">
    <cfRule type="cellIs" dxfId="12" priority="6" operator="lessThan">
      <formula>0</formula>
    </cfRule>
  </conditionalFormatting>
  <conditionalFormatting sqref="Q5:Q64 Q66">
    <cfRule type="cellIs" dxfId="11" priority="5" operator="lessThan">
      <formula>0</formula>
    </cfRule>
  </conditionalFormatting>
  <conditionalFormatting sqref="M5:M65">
    <cfRule type="cellIs" dxfId="10" priority="4" operator="lessThan">
      <formula>0</formula>
    </cfRule>
  </conditionalFormatting>
  <conditionalFormatting sqref="I5:I65">
    <cfRule type="cellIs" dxfId="9" priority="3" operator="lessThan">
      <formula>0</formula>
    </cfRule>
  </conditionalFormatting>
  <conditionalFormatting sqref="E5:E65">
    <cfRule type="cellIs" dxfId="8" priority="2" operator="lessThan">
      <formula>0</formula>
    </cfRule>
  </conditionalFormatting>
  <conditionalFormatting sqref="Q65">
    <cfRule type="cellIs" dxfId="7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</vt:lpstr>
      <vt:lpstr>Pivot</vt:lpstr>
      <vt:lpstr>Iva</vt:lpstr>
      <vt:lpstr>R.a.</vt:lpstr>
      <vt:lpstr>Rend</vt:lpstr>
      <vt:lpstr>Piano conti</vt:lpstr>
      <vt:lpstr>Cassa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Gucciardi, Ernesto</cp:lastModifiedBy>
  <dcterms:created xsi:type="dcterms:W3CDTF">2015-09-17T08:35:53Z</dcterms:created>
  <dcterms:modified xsi:type="dcterms:W3CDTF">2018-08-27T09:09:34Z</dcterms:modified>
</cp:coreProperties>
</file>